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329e7975c90f27/Documents/TechBreakdowns/"/>
    </mc:Choice>
  </mc:AlternateContent>
  <xr:revisionPtr revIDLastSave="1676" documentId="8_{56B70A2C-44B5-834B-83B5-330E0628B1BF}" xr6:coauthVersionLast="47" xr6:coauthVersionMax="47" xr10:uidLastSave="{2E1110CA-9BCC-4340-B1DD-AF172D0F31EF}"/>
  <bookViews>
    <workbookView xWindow="33720" yWindow="2540" windowWidth="36900" windowHeight="28020" activeTab="2" xr2:uid="{8FE87088-8B3F-7940-9545-F3857EC14938}"/>
  </bookViews>
  <sheets>
    <sheet name="Model" sheetId="1" r:id="rId1"/>
    <sheet name="Valuation" sheetId="2" r:id="rId2"/>
    <sheet name="KPIs" sheetId="3" r:id="rId3"/>
  </sheets>
  <definedNames>
    <definedName name="_xlchart.v1.0" hidden="1">KPIs!$A$2</definedName>
    <definedName name="_xlchart.v1.1" hidden="1">KPIs!$B$1:$G$1</definedName>
    <definedName name="_xlchart.v1.2" hidden="1">KPIs!$B$2:$G$2</definedName>
    <definedName name="_xlchart.v1.3" hidden="1">KPIs!$A$2</definedName>
    <definedName name="_xlchart.v1.4" hidden="1">KPIs!$B$1:$G$1</definedName>
    <definedName name="_xlchart.v1.5" hidden="1">KPIs!$B$2:$G$2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F82" i="1"/>
  <c r="F127" i="1" s="1"/>
  <c r="F126" i="1"/>
  <c r="F118" i="1"/>
  <c r="F117" i="1"/>
  <c r="D83" i="1"/>
  <c r="F87" i="1"/>
  <c r="C157" i="1"/>
  <c r="C156" i="1" l="1"/>
  <c r="C155" i="1"/>
  <c r="B2" i="3"/>
  <c r="H27" i="2" l="1"/>
  <c r="H14" i="2"/>
  <c r="H13" i="2"/>
  <c r="H12" i="2"/>
  <c r="H2" i="2"/>
  <c r="B13" i="2" s="1"/>
  <c r="K12" i="1"/>
  <c r="K13" i="1"/>
  <c r="K17" i="1"/>
  <c r="K24" i="1"/>
  <c r="K39" i="1"/>
  <c r="K45" i="1"/>
  <c r="K47" i="1"/>
  <c r="K56" i="1"/>
  <c r="K57" i="1"/>
  <c r="K69" i="1"/>
  <c r="K72" i="1"/>
  <c r="K76" i="1"/>
  <c r="K77" i="1"/>
  <c r="K80" i="1"/>
  <c r="K81" i="1"/>
  <c r="K97" i="1"/>
  <c r="K113" i="1"/>
  <c r="K114" i="1"/>
  <c r="K117" i="1"/>
  <c r="K118" i="1"/>
  <c r="K87" i="1" s="1"/>
  <c r="K120" i="1"/>
  <c r="K122" i="1"/>
  <c r="K126" i="1"/>
  <c r="K134" i="1"/>
  <c r="K135" i="1"/>
  <c r="K145" i="1"/>
  <c r="K149" i="1"/>
  <c r="D2" i="2"/>
  <c r="E2" i="2"/>
  <c r="F2" i="2"/>
  <c r="G2" i="2"/>
  <c r="C2" i="2"/>
  <c r="B14" i="2" l="1"/>
  <c r="K49" i="1"/>
  <c r="D102" i="1" l="1"/>
  <c r="E102" i="1"/>
  <c r="C102" i="1"/>
  <c r="D100" i="1"/>
  <c r="E100" i="1"/>
  <c r="C100" i="1"/>
  <c r="F97" i="1"/>
  <c r="G97" i="1" s="1"/>
  <c r="H97" i="1" s="1"/>
  <c r="I97" i="1" s="1"/>
  <c r="J97" i="1" s="1"/>
  <c r="D85" i="1"/>
  <c r="E85" i="1"/>
  <c r="C85" i="1"/>
  <c r="F149" i="1"/>
  <c r="G149" i="1"/>
  <c r="H149" i="1"/>
  <c r="I149" i="1"/>
  <c r="J149" i="1"/>
  <c r="F145" i="1"/>
  <c r="G145" i="1"/>
  <c r="H145" i="1"/>
  <c r="I145" i="1"/>
  <c r="J145" i="1"/>
  <c r="F135" i="1"/>
  <c r="G135" i="1"/>
  <c r="H135" i="1"/>
  <c r="I135" i="1"/>
  <c r="J135" i="1"/>
  <c r="F134" i="1"/>
  <c r="G134" i="1"/>
  <c r="H134" i="1"/>
  <c r="I134" i="1"/>
  <c r="J134" i="1"/>
  <c r="G126" i="1"/>
  <c r="H126" i="1"/>
  <c r="I126" i="1"/>
  <c r="J126" i="1"/>
  <c r="G122" i="1" l="1"/>
  <c r="H122" i="1"/>
  <c r="I122" i="1"/>
  <c r="J122" i="1"/>
  <c r="G120" i="1"/>
  <c r="H120" i="1"/>
  <c r="I120" i="1"/>
  <c r="J120" i="1"/>
  <c r="F122" i="1"/>
  <c r="E123" i="1"/>
  <c r="D123" i="1"/>
  <c r="F120" i="1"/>
  <c r="E121" i="1"/>
  <c r="D121" i="1"/>
  <c r="G118" i="1"/>
  <c r="G87" i="1" s="1"/>
  <c r="H118" i="1" s="1"/>
  <c r="H87" i="1" s="1"/>
  <c r="I118" i="1" s="1"/>
  <c r="E119" i="1"/>
  <c r="D119" i="1"/>
  <c r="F81" i="1"/>
  <c r="G81" i="1" s="1"/>
  <c r="H81" i="1" s="1"/>
  <c r="I81" i="1" s="1"/>
  <c r="J81" i="1" s="1"/>
  <c r="F80" i="1"/>
  <c r="G80" i="1" s="1"/>
  <c r="H80" i="1" s="1"/>
  <c r="I80" i="1" s="1"/>
  <c r="J80" i="1" s="1"/>
  <c r="I87" i="1" l="1"/>
  <c r="F47" i="1"/>
  <c r="G47" i="1" s="1"/>
  <c r="H47" i="1" s="1"/>
  <c r="I47" i="1" s="1"/>
  <c r="J47" i="1" s="1"/>
  <c r="F45" i="1"/>
  <c r="E48" i="1"/>
  <c r="D48" i="1"/>
  <c r="E46" i="1"/>
  <c r="D46" i="1"/>
  <c r="F39" i="1"/>
  <c r="G39" i="1"/>
  <c r="G117" i="1" s="1"/>
  <c r="H39" i="1"/>
  <c r="H117" i="1" s="1"/>
  <c r="I39" i="1"/>
  <c r="I117" i="1" s="1"/>
  <c r="J39" i="1"/>
  <c r="J117" i="1" s="1"/>
  <c r="F24" i="1"/>
  <c r="E25" i="1"/>
  <c r="D25" i="1"/>
  <c r="D26" i="1"/>
  <c r="E26" i="1"/>
  <c r="C26" i="1"/>
  <c r="F21" i="1"/>
  <c r="G21" i="1" s="1"/>
  <c r="H21" i="1" s="1"/>
  <c r="I21" i="1" s="1"/>
  <c r="J21" i="1" s="1"/>
  <c r="K21" i="1" s="1"/>
  <c r="K26" i="1" s="1"/>
  <c r="E22" i="1"/>
  <c r="D22" i="1"/>
  <c r="J118" i="1" l="1"/>
  <c r="J87" i="1" s="1"/>
  <c r="F49" i="1"/>
  <c r="G45" i="1"/>
  <c r="G24" i="1"/>
  <c r="F26" i="1"/>
  <c r="H45" i="1" l="1"/>
  <c r="G49" i="1"/>
  <c r="H24" i="1"/>
  <c r="G26" i="1"/>
  <c r="I45" i="1" l="1"/>
  <c r="H49" i="1"/>
  <c r="H26" i="1"/>
  <c r="I24" i="1"/>
  <c r="J45" i="1" l="1"/>
  <c r="J49" i="1" s="1"/>
  <c r="I49" i="1"/>
  <c r="J24" i="1"/>
  <c r="I26" i="1"/>
  <c r="J26" i="1" l="1"/>
  <c r="D71" i="1" l="1"/>
  <c r="E71" i="1"/>
  <c r="C71" i="1"/>
  <c r="F72" i="1"/>
  <c r="G72" i="1" s="1"/>
  <c r="H72" i="1" s="1"/>
  <c r="I72" i="1" s="1"/>
  <c r="J72" i="1" s="1"/>
  <c r="F69" i="1"/>
  <c r="F67" i="1"/>
  <c r="G67" i="1" s="1"/>
  <c r="H67" i="1" s="1"/>
  <c r="I67" i="1" s="1"/>
  <c r="J67" i="1" s="1"/>
  <c r="K67" i="1" s="1"/>
  <c r="E64" i="1"/>
  <c r="E66" i="1" s="1"/>
  <c r="E63" i="1"/>
  <c r="C149" i="1"/>
  <c r="F59" i="1"/>
  <c r="E149" i="1"/>
  <c r="D149" i="1"/>
  <c r="D145" i="1"/>
  <c r="E145" i="1"/>
  <c r="C145" i="1"/>
  <c r="D135" i="1"/>
  <c r="E135" i="1"/>
  <c r="C135" i="1"/>
  <c r="E134" i="1"/>
  <c r="C134" i="1"/>
  <c r="D134" i="1"/>
  <c r="F114" i="1"/>
  <c r="G114" i="1" s="1"/>
  <c r="H114" i="1" s="1"/>
  <c r="I114" i="1" s="1"/>
  <c r="J114" i="1" s="1"/>
  <c r="F113" i="1"/>
  <c r="G113" i="1" s="1"/>
  <c r="H113" i="1" s="1"/>
  <c r="I113" i="1" s="1"/>
  <c r="J113" i="1" s="1"/>
  <c r="D113" i="1"/>
  <c r="C113" i="1" s="1"/>
  <c r="C105" i="1"/>
  <c r="E105" i="1"/>
  <c r="D105" i="1"/>
  <c r="C93" i="1"/>
  <c r="F77" i="1"/>
  <c r="G77" i="1" s="1"/>
  <c r="H77" i="1" s="1"/>
  <c r="I77" i="1" s="1"/>
  <c r="J77" i="1" s="1"/>
  <c r="F76" i="1"/>
  <c r="G76" i="1" s="1"/>
  <c r="H76" i="1" s="1"/>
  <c r="I76" i="1" s="1"/>
  <c r="J76" i="1" s="1"/>
  <c r="D76" i="1"/>
  <c r="C76" i="1" s="1"/>
  <c r="D64" i="1"/>
  <c r="D66" i="1" s="1"/>
  <c r="C64" i="1"/>
  <c r="C66" i="1" s="1"/>
  <c r="E70" i="1"/>
  <c r="E73" i="1"/>
  <c r="D73" i="1"/>
  <c r="D70" i="1"/>
  <c r="E68" i="1"/>
  <c r="D68" i="1"/>
  <c r="D63" i="1"/>
  <c r="C63" i="1"/>
  <c r="D62" i="1"/>
  <c r="E62" i="1"/>
  <c r="E60" i="1"/>
  <c r="D60" i="1"/>
  <c r="F57" i="1"/>
  <c r="G57" i="1" s="1"/>
  <c r="H57" i="1" s="1"/>
  <c r="I57" i="1" s="1"/>
  <c r="J57" i="1" s="1"/>
  <c r="F56" i="1"/>
  <c r="G56" i="1" s="1"/>
  <c r="H56" i="1" s="1"/>
  <c r="I56" i="1" s="1"/>
  <c r="J56" i="1" s="1"/>
  <c r="D56" i="1"/>
  <c r="C56" i="1" s="1"/>
  <c r="C18" i="1"/>
  <c r="C33" i="1" s="1"/>
  <c r="C34" i="1" s="1"/>
  <c r="C39" i="1"/>
  <c r="C117" i="1" s="1"/>
  <c r="C49" i="1"/>
  <c r="E49" i="1"/>
  <c r="D49" i="1"/>
  <c r="D39" i="1"/>
  <c r="D117" i="1" s="1"/>
  <c r="E39" i="1"/>
  <c r="E117" i="1" s="1"/>
  <c r="E18" i="1"/>
  <c r="D18" i="1"/>
  <c r="F13" i="1"/>
  <c r="G13" i="1" s="1"/>
  <c r="H13" i="1" s="1"/>
  <c r="I13" i="1" s="1"/>
  <c r="J13" i="1" s="1"/>
  <c r="F12" i="1"/>
  <c r="G12" i="1" s="1"/>
  <c r="H12" i="1" s="1"/>
  <c r="I12" i="1" s="1"/>
  <c r="J12" i="1" s="1"/>
  <c r="D12" i="1"/>
  <c r="C12" i="1" s="1"/>
  <c r="F99" i="1" l="1"/>
  <c r="F129" i="1" s="1"/>
  <c r="F61" i="1"/>
  <c r="F15" i="1" s="1"/>
  <c r="G59" i="1"/>
  <c r="G99" i="1" s="1"/>
  <c r="F84" i="1"/>
  <c r="F128" i="1" s="1"/>
  <c r="D33" i="1"/>
  <c r="D34" i="1" s="1"/>
  <c r="D93" i="1"/>
  <c r="E33" i="1"/>
  <c r="E34" i="1" s="1"/>
  <c r="E93" i="1"/>
  <c r="E65" i="1"/>
  <c r="D109" i="1"/>
  <c r="G69" i="1"/>
  <c r="F17" i="1"/>
  <c r="C65" i="1"/>
  <c r="D65" i="1"/>
  <c r="E109" i="1"/>
  <c r="C109" i="1"/>
  <c r="C35" i="1"/>
  <c r="E31" i="1"/>
  <c r="C31" i="1"/>
  <c r="D31" i="1"/>
  <c r="D19" i="1"/>
  <c r="E19" i="1"/>
  <c r="C20" i="1"/>
  <c r="E20" i="1"/>
  <c r="D20" i="1"/>
  <c r="C29" i="1"/>
  <c r="E29" i="1"/>
  <c r="C27" i="1"/>
  <c r="D29" i="1"/>
  <c r="D27" i="1"/>
  <c r="E27" i="1"/>
  <c r="C23" i="1"/>
  <c r="E23" i="1"/>
  <c r="D23" i="1"/>
  <c r="D40" i="1"/>
  <c r="C40" i="1"/>
  <c r="C137" i="1" s="1"/>
  <c r="G61" i="1" l="1"/>
  <c r="G64" i="1" s="1"/>
  <c r="E40" i="1"/>
  <c r="G129" i="1"/>
  <c r="D35" i="1"/>
  <c r="E35" i="1"/>
  <c r="D155" i="1"/>
  <c r="D156" i="1" s="1"/>
  <c r="E155" i="1"/>
  <c r="E157" i="1" s="1"/>
  <c r="E158" i="1" s="1"/>
  <c r="H59" i="1"/>
  <c r="H99" i="1" s="1"/>
  <c r="G84" i="1"/>
  <c r="G128" i="1" s="1"/>
  <c r="D116" i="1"/>
  <c r="D132" i="1" s="1"/>
  <c r="D138" i="1" s="1"/>
  <c r="D153" i="1" s="1"/>
  <c r="D137" i="1"/>
  <c r="E116" i="1"/>
  <c r="E132" i="1" s="1"/>
  <c r="E138" i="1" s="1"/>
  <c r="E153" i="1" s="1"/>
  <c r="E137" i="1"/>
  <c r="H69" i="1"/>
  <c r="G17" i="1"/>
  <c r="G15" i="1"/>
  <c r="F62" i="1"/>
  <c r="F64" i="1"/>
  <c r="F16" i="1" s="1"/>
  <c r="G62" i="1"/>
  <c r="C158" i="1"/>
  <c r="C42" i="1"/>
  <c r="C116" i="1"/>
  <c r="C132" i="1" s="1"/>
  <c r="C138" i="1" s="1"/>
  <c r="C153" i="1" s="1"/>
  <c r="D43" i="1"/>
  <c r="D51" i="1" s="1"/>
  <c r="D42" i="1"/>
  <c r="E43" i="1"/>
  <c r="E51" i="1" s="1"/>
  <c r="E42" i="1"/>
  <c r="C43" i="1"/>
  <c r="D157" i="1" l="1"/>
  <c r="D158" i="1" s="1"/>
  <c r="H129" i="1"/>
  <c r="F18" i="1"/>
  <c r="F101" i="1"/>
  <c r="E156" i="1"/>
  <c r="I59" i="1"/>
  <c r="I99" i="1" s="1"/>
  <c r="H84" i="1"/>
  <c r="H128" i="1" s="1"/>
  <c r="H61" i="1"/>
  <c r="F66" i="1"/>
  <c r="F23" i="1"/>
  <c r="F30" i="1"/>
  <c r="F28" i="1"/>
  <c r="F27" i="1"/>
  <c r="F19" i="1"/>
  <c r="F20" i="1"/>
  <c r="G16" i="1"/>
  <c r="G66" i="1"/>
  <c r="I69" i="1"/>
  <c r="H17" i="1"/>
  <c r="D52" i="1"/>
  <c r="E52" i="1"/>
  <c r="C51" i="1"/>
  <c r="C52" i="1"/>
  <c r="I129" i="1" l="1"/>
  <c r="F130" i="1"/>
  <c r="F105" i="1"/>
  <c r="G18" i="1"/>
  <c r="G82" i="1" s="1"/>
  <c r="G101" i="1"/>
  <c r="H64" i="1"/>
  <c r="H16" i="1" s="1"/>
  <c r="H101" i="1" s="1"/>
  <c r="H62" i="1"/>
  <c r="H15" i="1"/>
  <c r="J59" i="1"/>
  <c r="I84" i="1"/>
  <c r="I128" i="1" s="1"/>
  <c r="I61" i="1"/>
  <c r="G127" i="1"/>
  <c r="F33" i="1"/>
  <c r="F35" i="1" s="1"/>
  <c r="G23" i="1"/>
  <c r="G19" i="1"/>
  <c r="J69" i="1"/>
  <c r="I17" i="1"/>
  <c r="J99" i="1" l="1"/>
  <c r="J129" i="1" s="1"/>
  <c r="K59" i="1"/>
  <c r="H18" i="1"/>
  <c r="H19" i="1" s="1"/>
  <c r="H66" i="1"/>
  <c r="G20" i="1"/>
  <c r="H130" i="1"/>
  <c r="H105" i="1"/>
  <c r="G130" i="1"/>
  <c r="G105" i="1"/>
  <c r="G27" i="1"/>
  <c r="G28" i="1"/>
  <c r="G30" i="1"/>
  <c r="I62" i="1"/>
  <c r="I64" i="1"/>
  <c r="I16" i="1" s="1"/>
  <c r="I101" i="1" s="1"/>
  <c r="I15" i="1"/>
  <c r="J61" i="1"/>
  <c r="J15" i="1" s="1"/>
  <c r="J84" i="1"/>
  <c r="J128" i="1" s="1"/>
  <c r="F155" i="1"/>
  <c r="F34" i="1"/>
  <c r="F40" i="1"/>
  <c r="F41" i="1" s="1"/>
  <c r="F43" i="1" s="1"/>
  <c r="J17" i="1"/>
  <c r="H27" i="1" l="1"/>
  <c r="H28" i="1"/>
  <c r="H30" i="1"/>
  <c r="H23" i="1"/>
  <c r="H82" i="1"/>
  <c r="H127" i="1" s="1"/>
  <c r="H20" i="1"/>
  <c r="K84" i="1"/>
  <c r="K128" i="1" s="1"/>
  <c r="K61" i="1"/>
  <c r="K99" i="1"/>
  <c r="K129" i="1" s="1"/>
  <c r="G33" i="1"/>
  <c r="G40" i="1" s="1"/>
  <c r="G116" i="1" s="1"/>
  <c r="G132" i="1" s="1"/>
  <c r="I130" i="1"/>
  <c r="I105" i="1"/>
  <c r="I18" i="1"/>
  <c r="I27" i="1" s="1"/>
  <c r="J64" i="1"/>
  <c r="J16" i="1" s="1"/>
  <c r="J101" i="1" s="1"/>
  <c r="J62" i="1"/>
  <c r="I66" i="1"/>
  <c r="F116" i="1"/>
  <c r="F132" i="1" s="1"/>
  <c r="F136" i="1"/>
  <c r="F156" i="1"/>
  <c r="F157" i="1"/>
  <c r="F52" i="1"/>
  <c r="F51" i="1"/>
  <c r="H33" i="1" l="1"/>
  <c r="H40" i="1" s="1"/>
  <c r="G35" i="1"/>
  <c r="G41" i="1"/>
  <c r="G43" i="1" s="1"/>
  <c r="G34" i="1"/>
  <c r="G155" i="1"/>
  <c r="G157" i="1" s="1"/>
  <c r="F158" i="1"/>
  <c r="C4" i="2"/>
  <c r="C6" i="2" s="1"/>
  <c r="G136" i="1"/>
  <c r="G138" i="1" s="1"/>
  <c r="G153" i="1" s="1"/>
  <c r="K15" i="1"/>
  <c r="K64" i="1"/>
  <c r="K16" i="1" s="1"/>
  <c r="K101" i="1" s="1"/>
  <c r="K130" i="1" s="1"/>
  <c r="K62" i="1"/>
  <c r="J130" i="1"/>
  <c r="J105" i="1"/>
  <c r="J66" i="1"/>
  <c r="J18" i="1"/>
  <c r="J27" i="1" s="1"/>
  <c r="I82" i="1"/>
  <c r="I127" i="1" s="1"/>
  <c r="I20" i="1"/>
  <c r="I19" i="1"/>
  <c r="I28" i="1"/>
  <c r="I23" i="1"/>
  <c r="I30" i="1"/>
  <c r="F138" i="1"/>
  <c r="F153" i="1" s="1"/>
  <c r="F79" i="1" s="1"/>
  <c r="H116" i="1"/>
  <c r="H132" i="1" s="1"/>
  <c r="H136" i="1"/>
  <c r="H34" i="1"/>
  <c r="H155" i="1"/>
  <c r="H35" i="1"/>
  <c r="G51" i="1"/>
  <c r="G52" i="1"/>
  <c r="H41" i="1"/>
  <c r="H43" i="1" s="1"/>
  <c r="G156" i="1" l="1"/>
  <c r="K66" i="1"/>
  <c r="G158" i="1"/>
  <c r="D4" i="2"/>
  <c r="D6" i="2" s="1"/>
  <c r="K18" i="1"/>
  <c r="K19" i="1" s="1"/>
  <c r="J19" i="1"/>
  <c r="K105" i="1"/>
  <c r="J82" i="1"/>
  <c r="J127" i="1" s="1"/>
  <c r="J20" i="1"/>
  <c r="J28" i="1"/>
  <c r="J30" i="1"/>
  <c r="J23" i="1"/>
  <c r="I33" i="1"/>
  <c r="H138" i="1"/>
  <c r="H153" i="1" s="1"/>
  <c r="G79" i="1"/>
  <c r="G93" i="1" s="1"/>
  <c r="G107" i="1" s="1"/>
  <c r="G109" i="1" s="1"/>
  <c r="F93" i="1"/>
  <c r="F107" i="1" s="1"/>
  <c r="F109" i="1" s="1"/>
  <c r="H157" i="1"/>
  <c r="H156" i="1"/>
  <c r="H51" i="1"/>
  <c r="H52" i="1"/>
  <c r="K23" i="1" l="1"/>
  <c r="K28" i="1"/>
  <c r="K30" i="1"/>
  <c r="K20" i="1"/>
  <c r="K27" i="1"/>
  <c r="K82" i="1"/>
  <c r="K127" i="1" s="1"/>
  <c r="H158" i="1"/>
  <c r="E4" i="2"/>
  <c r="E6" i="2" s="1"/>
  <c r="J33" i="1"/>
  <c r="I155" i="1"/>
  <c r="I34" i="1"/>
  <c r="I40" i="1"/>
  <c r="I35" i="1"/>
  <c r="H79" i="1"/>
  <c r="H93" i="1" s="1"/>
  <c r="H107" i="1" s="1"/>
  <c r="H109" i="1" s="1"/>
  <c r="K33" i="1" l="1"/>
  <c r="K34" i="1" s="1"/>
  <c r="J40" i="1"/>
  <c r="J155" i="1"/>
  <c r="J35" i="1"/>
  <c r="J34" i="1"/>
  <c r="I41" i="1"/>
  <c r="I43" i="1" s="1"/>
  <c r="I116" i="1"/>
  <c r="I132" i="1" s="1"/>
  <c r="I136" i="1"/>
  <c r="I156" i="1"/>
  <c r="K155" i="1" l="1"/>
  <c r="K156" i="1" s="1"/>
  <c r="K40" i="1"/>
  <c r="K35" i="1"/>
  <c r="I157" i="1"/>
  <c r="K136" i="1"/>
  <c r="K41" i="1"/>
  <c r="K116" i="1"/>
  <c r="K132" i="1" s="1"/>
  <c r="J156" i="1"/>
  <c r="J41" i="1"/>
  <c r="J43" i="1" s="1"/>
  <c r="J136" i="1"/>
  <c r="J116" i="1"/>
  <c r="J132" i="1" s="1"/>
  <c r="I138" i="1"/>
  <c r="I153" i="1" s="1"/>
  <c r="I79" i="1" s="1"/>
  <c r="I51" i="1"/>
  <c r="I52" i="1"/>
  <c r="K157" i="1" l="1"/>
  <c r="J138" i="1"/>
  <c r="J153" i="1" s="1"/>
  <c r="K138" i="1"/>
  <c r="K153" i="1" s="1"/>
  <c r="K158" i="1"/>
  <c r="H4" i="2"/>
  <c r="K43" i="1"/>
  <c r="I158" i="1"/>
  <c r="F4" i="2"/>
  <c r="F6" i="2" s="1"/>
  <c r="J51" i="1"/>
  <c r="J52" i="1"/>
  <c r="J157" i="1"/>
  <c r="I93" i="1"/>
  <c r="I107" i="1" s="1"/>
  <c r="I109" i="1" s="1"/>
  <c r="J79" i="1"/>
  <c r="J158" i="1" l="1"/>
  <c r="G4" i="2"/>
  <c r="G6" i="2" s="1"/>
  <c r="C8" i="2" s="1"/>
  <c r="K51" i="1"/>
  <c r="K52" i="1"/>
  <c r="D13" i="2"/>
  <c r="D14" i="2" s="1"/>
  <c r="D15" i="2" s="1"/>
  <c r="H6" i="2"/>
  <c r="J93" i="1"/>
  <c r="J107" i="1" s="1"/>
  <c r="J109" i="1" s="1"/>
  <c r="K79" i="1"/>
  <c r="D17" i="2" l="1"/>
  <c r="K93" i="1"/>
  <c r="K107" i="1" s="1"/>
  <c r="K109" i="1" s="1"/>
  <c r="D22" i="2"/>
  <c r="D24" i="2" s="1"/>
  <c r="D25" i="2" s="1"/>
  <c r="H21" i="2" l="1"/>
  <c r="H23" i="2" s="1"/>
  <c r="H25" i="2" s="1"/>
  <c r="H28" i="2" s="1"/>
</calcChain>
</file>

<file path=xl/sharedStrings.xml><?xml version="1.0" encoding="utf-8"?>
<sst xmlns="http://schemas.openxmlformats.org/spreadsheetml/2006/main" count="173" uniqueCount="145">
  <si>
    <t>Adyen Financial Model</t>
  </si>
  <si>
    <t>Company Name</t>
  </si>
  <si>
    <t>Ticker</t>
  </si>
  <si>
    <t>Share price</t>
  </si>
  <si>
    <t>Date of price</t>
  </si>
  <si>
    <t>Last FY End</t>
  </si>
  <si>
    <t>Adyen</t>
  </si>
  <si>
    <t>EUR thousands, except per share</t>
  </si>
  <si>
    <t>INCOME STATEMENT</t>
  </si>
  <si>
    <t>Fiscal year</t>
  </si>
  <si>
    <t>Fiscal year end date</t>
  </si>
  <si>
    <t>Revenue</t>
  </si>
  <si>
    <t>Costs incurred from financial inst</t>
  </si>
  <si>
    <t>Costs of goods sold</t>
  </si>
  <si>
    <t xml:space="preserve">Wages and Salaries </t>
  </si>
  <si>
    <t>Social securities and pension costs</t>
  </si>
  <si>
    <t>Amortization and depreciation</t>
  </si>
  <si>
    <t>Other operating expenses</t>
  </si>
  <si>
    <t>Other income / (expense)</t>
  </si>
  <si>
    <t>Net revenue</t>
  </si>
  <si>
    <t>Finance income</t>
  </si>
  <si>
    <t>Finance expense</t>
  </si>
  <si>
    <t>Orther financial results</t>
  </si>
  <si>
    <t>Net finance income</t>
  </si>
  <si>
    <t>Income before income taxes</t>
  </si>
  <si>
    <t>Income taxes</t>
  </si>
  <si>
    <t>Net income</t>
  </si>
  <si>
    <t>Basic shares outstanding</t>
  </si>
  <si>
    <t>Diluted shares outstanding</t>
  </si>
  <si>
    <t>Dilutive shares outstanding</t>
  </si>
  <si>
    <t>Basic EPS</t>
  </si>
  <si>
    <t>Diluted EPS</t>
  </si>
  <si>
    <t>Settlement fees</t>
  </si>
  <si>
    <t>Processing fees</t>
  </si>
  <si>
    <t>Sales of goods</t>
  </si>
  <si>
    <t>Other services</t>
  </si>
  <si>
    <t>SEGMENTS &amp; KPIs</t>
  </si>
  <si>
    <t>Total Payment Volume</t>
  </si>
  <si>
    <t>Growth</t>
  </si>
  <si>
    <t>As a % of payment volume</t>
  </si>
  <si>
    <t xml:space="preserve">Costs incurred </t>
  </si>
  <si>
    <t>Net settlement fee revenue</t>
  </si>
  <si>
    <t>As a % of net revenue</t>
  </si>
  <si>
    <t>Operating Income</t>
  </si>
  <si>
    <t>As a % of revenue</t>
  </si>
  <si>
    <t>Operating margin</t>
  </si>
  <si>
    <t>EBITDA</t>
  </si>
  <si>
    <t>Tax Rate</t>
  </si>
  <si>
    <t>BALANCE SHEET</t>
  </si>
  <si>
    <t>Cash &amp; Equivalents</t>
  </si>
  <si>
    <t>Current income tax receivables</t>
  </si>
  <si>
    <t>Trade and other receivables</t>
  </si>
  <si>
    <t>Receivables from merchants</t>
  </si>
  <si>
    <t>Inventories</t>
  </si>
  <si>
    <t>PP&amp;E</t>
  </si>
  <si>
    <t>Intangible Assets</t>
  </si>
  <si>
    <t>Contract assets</t>
  </si>
  <si>
    <t>Deferred tax assets</t>
  </si>
  <si>
    <t>Right-of-use assets</t>
  </si>
  <si>
    <t>Other financial assets at FVPL</t>
  </si>
  <si>
    <t>Total Assets</t>
  </si>
  <si>
    <t>Other financial assets at amortized cost</t>
  </si>
  <si>
    <t>Derivative liabilities</t>
  </si>
  <si>
    <t>Deferred tax liabilities</t>
  </si>
  <si>
    <t>Lease liability</t>
  </si>
  <si>
    <t>Cash-settled share-based payment plan</t>
  </si>
  <si>
    <t>Payables to merchants</t>
  </si>
  <si>
    <t>Trade and other payables</t>
  </si>
  <si>
    <t>Current lease liability</t>
  </si>
  <si>
    <t>Current income tax payables</t>
  </si>
  <si>
    <t>Total liabilities</t>
  </si>
  <si>
    <t>Total Equity</t>
  </si>
  <si>
    <t>Total Liabilities &amp; Equity</t>
  </si>
  <si>
    <t>CASH FLOW</t>
  </si>
  <si>
    <t>Depreciation of PP&amp;E</t>
  </si>
  <si>
    <t>Amortization of intangibles</t>
  </si>
  <si>
    <t>Depreciation of right-of-use assets</t>
  </si>
  <si>
    <t>Equity settled SBC</t>
  </si>
  <si>
    <t>Cash settled SBC</t>
  </si>
  <si>
    <t>Amortization and additions of contract assets</t>
  </si>
  <si>
    <t>Interest received</t>
  </si>
  <si>
    <t>Interest paid</t>
  </si>
  <si>
    <t>Income taxes paid</t>
  </si>
  <si>
    <t>Cash generated from operations</t>
  </si>
  <si>
    <t>Net Cash Flow from Operations</t>
  </si>
  <si>
    <t>Purchases of financial assets at FVPL</t>
  </si>
  <si>
    <t>Redemption of financial assets at amortized cost</t>
  </si>
  <si>
    <t>Redemption of financial assets at FVPL</t>
  </si>
  <si>
    <t>Purchase of plant and equipment</t>
  </si>
  <si>
    <t>Capitalization of intangible assets</t>
  </si>
  <si>
    <t>Net Cash used in investing activities</t>
  </si>
  <si>
    <t>Proceeds from issues of shares</t>
  </si>
  <si>
    <t>Lease payments</t>
  </si>
  <si>
    <t>Net cash flows from financing activities</t>
  </si>
  <si>
    <t>Exchange gains/losses</t>
  </si>
  <si>
    <t>Change in Cash</t>
  </si>
  <si>
    <t>EBITDA-Capex-lease</t>
  </si>
  <si>
    <t>Margin</t>
  </si>
  <si>
    <t>FCF</t>
  </si>
  <si>
    <t>FCF Margin</t>
  </si>
  <si>
    <t>Costs as a % of fees</t>
  </si>
  <si>
    <t>COGS %</t>
  </si>
  <si>
    <t>As a % of wages &amp; salaries</t>
  </si>
  <si>
    <t>As a % of PP&amp;E</t>
  </si>
  <si>
    <t>As a % of intangibles</t>
  </si>
  <si>
    <t>As a % of right-of-use</t>
  </si>
  <si>
    <t>As a % of pre-tax profit</t>
  </si>
  <si>
    <t>DSO</t>
  </si>
  <si>
    <t>As a % of TPV</t>
  </si>
  <si>
    <t>As a % of costs</t>
  </si>
  <si>
    <t>Period</t>
  </si>
  <si>
    <t>Discount Rate</t>
  </si>
  <si>
    <t>PV</t>
  </si>
  <si>
    <t>Sum of PVs</t>
  </si>
  <si>
    <t>Terminal Value</t>
  </si>
  <si>
    <t>Long-Term Growth Rate</t>
  </si>
  <si>
    <t>PV of TV</t>
  </si>
  <si>
    <t>EV 1+2</t>
  </si>
  <si>
    <t>Debts</t>
  </si>
  <si>
    <t>Net Debt</t>
  </si>
  <si>
    <t>Shares Outstanding</t>
  </si>
  <si>
    <t>Basic Shares</t>
  </si>
  <si>
    <t xml:space="preserve">Dilutive </t>
  </si>
  <si>
    <t>Total Shares Outstanding</t>
  </si>
  <si>
    <t>Equity Value</t>
  </si>
  <si>
    <t>Value Per Share (Euro)</t>
  </si>
  <si>
    <t>U.S. ADR</t>
  </si>
  <si>
    <t>U.S. Share Price</t>
  </si>
  <si>
    <t>Exchange</t>
  </si>
  <si>
    <t>U.S. Share Price (Dollars)</t>
  </si>
  <si>
    <t>ADYEY</t>
  </si>
  <si>
    <t>Current Price</t>
  </si>
  <si>
    <t>Margin of Safety</t>
  </si>
  <si>
    <t>Nonoperating Assets</t>
  </si>
  <si>
    <t>Discounted</t>
  </si>
  <si>
    <t>WACC</t>
  </si>
  <si>
    <t>Total Payment Volume (€ millions)</t>
  </si>
  <si>
    <t>H1 2023</t>
  </si>
  <si>
    <t>Net Revenue (€ millions)</t>
  </si>
  <si>
    <t>Settlement Fees</t>
  </si>
  <si>
    <t>Processing Fees</t>
  </si>
  <si>
    <t>Sale of Goods</t>
  </si>
  <si>
    <t>Other Services</t>
  </si>
  <si>
    <t>Settlement Costs</t>
  </si>
  <si>
    <t>Net Settlement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</si>
</sst>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A;[Red]0\A"/>
    <numFmt numFmtId="165" formatCode="0\E;[Red]0\E"/>
    <numFmt numFmtId="166" formatCode="m/d/yy;@"/>
    <numFmt numFmtId="167" formatCode="_(* #,##0_);_(* \(#,##0\);_(* &quot;-&quot;??_);_(@_)"/>
    <numFmt numFmtId="168" formatCode="_([$€-2]\ * #,##0.00_);_([$€-2]\ * \(#,##0.00\);_([$€-2]\ * &quot;-&quot;??_);_(@_)"/>
    <numFmt numFmtId="169" formatCode="0.0%"/>
    <numFmt numFmtId="170" formatCode="_-* #,##0.00\ [$€-42D]_-;\-* #,##0.00\ [$€-42D]_-;_-* &quot;-&quot;??\ [$€-42D]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2" fillId="0" borderId="2" xfId="0" applyFont="1" applyBorder="1"/>
    <xf numFmtId="164" fontId="0" fillId="0" borderId="0" xfId="0" applyNumberFormat="1"/>
    <xf numFmtId="165" fontId="0" fillId="0" borderId="0" xfId="0" applyNumberFormat="1"/>
    <xf numFmtId="14" fontId="0" fillId="0" borderId="2" xfId="0" applyNumberFormat="1" applyBorder="1"/>
    <xf numFmtId="0" fontId="2" fillId="0" borderId="0" xfId="0" applyFont="1"/>
    <xf numFmtId="166" fontId="5" fillId="0" borderId="0" xfId="0" applyNumberFormat="1" applyFont="1"/>
    <xf numFmtId="166" fontId="7" fillId="0" borderId="0" xfId="0" applyNumberFormat="1" applyFont="1" applyAlignment="1">
      <alignment horizontal="right"/>
    </xf>
    <xf numFmtId="166" fontId="7" fillId="0" borderId="0" xfId="0" applyNumberFormat="1" applyFont="1"/>
    <xf numFmtId="166" fontId="6" fillId="0" borderId="2" xfId="0" applyNumberFormat="1" applyFont="1" applyBorder="1"/>
    <xf numFmtId="37" fontId="7" fillId="0" borderId="0" xfId="0" applyNumberFormat="1" applyFont="1"/>
    <xf numFmtId="167" fontId="2" fillId="0" borderId="0" xfId="1" applyNumberFormat="1" applyFont="1"/>
    <xf numFmtId="167" fontId="0" fillId="0" borderId="0" xfId="0" applyNumberFormat="1"/>
    <xf numFmtId="167" fontId="2" fillId="0" borderId="0" xfId="0" applyNumberFormat="1" applyFont="1"/>
    <xf numFmtId="37" fontId="0" fillId="0" borderId="0" xfId="0" applyNumberFormat="1"/>
    <xf numFmtId="37" fontId="2" fillId="0" borderId="0" xfId="0" applyNumberFormat="1" applyFont="1"/>
    <xf numFmtId="168" fontId="0" fillId="0" borderId="0" xfId="0" applyNumberFormat="1"/>
    <xf numFmtId="168" fontId="2" fillId="0" borderId="0" xfId="0" applyNumberFormat="1" applyFont="1"/>
    <xf numFmtId="169" fontId="0" fillId="0" borderId="0" xfId="2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9" fontId="4" fillId="0" borderId="0" xfId="2" applyNumberFormat="1" applyFont="1" applyAlignment="1">
      <alignment horizontal="left" indent="1"/>
    </xf>
    <xf numFmtId="169" fontId="4" fillId="0" borderId="0" xfId="2" applyNumberFormat="1" applyFont="1"/>
    <xf numFmtId="10" fontId="4" fillId="0" borderId="0" xfId="2" applyNumberFormat="1" applyFont="1"/>
    <xf numFmtId="167" fontId="4" fillId="0" borderId="0" xfId="1" applyNumberFormat="1" applyFont="1"/>
    <xf numFmtId="169" fontId="4" fillId="2" borderId="0" xfId="2" applyNumberFormat="1" applyFont="1" applyFill="1"/>
    <xf numFmtId="10" fontId="4" fillId="2" borderId="0" xfId="2" applyNumberFormat="1" applyFont="1" applyFill="1"/>
    <xf numFmtId="9" fontId="7" fillId="0" borderId="0" xfId="2" applyFont="1"/>
    <xf numFmtId="43" fontId="0" fillId="0" borderId="0" xfId="0" applyNumberFormat="1"/>
    <xf numFmtId="37" fontId="0" fillId="2" borderId="0" xfId="0" applyNumberFormat="1" applyFill="1"/>
    <xf numFmtId="0" fontId="0" fillId="2" borderId="0" xfId="0" applyFill="1"/>
    <xf numFmtId="167" fontId="4" fillId="2" borderId="0" xfId="1" applyNumberFormat="1" applyFont="1" applyFill="1"/>
    <xf numFmtId="37" fontId="8" fillId="0" borderId="0" xfId="0" applyNumberFormat="1" applyFont="1"/>
    <xf numFmtId="0" fontId="2" fillId="0" borderId="1" xfId="0" applyFont="1" applyBorder="1"/>
    <xf numFmtId="0" fontId="2" fillId="3" borderId="0" xfId="0" applyFont="1" applyFill="1"/>
    <xf numFmtId="0" fontId="0" fillId="3" borderId="0" xfId="0" applyFill="1"/>
    <xf numFmtId="170" fontId="0" fillId="0" borderId="0" xfId="3" applyNumberFormat="1" applyFont="1"/>
    <xf numFmtId="170" fontId="0" fillId="0" borderId="0" xfId="0" applyNumberFormat="1"/>
    <xf numFmtId="44" fontId="2" fillId="4" borderId="0" xfId="3" applyFont="1" applyFill="1"/>
    <xf numFmtId="169" fontId="0" fillId="2" borderId="0" xfId="2" applyNumberFormat="1" applyFont="1" applyFill="1"/>
    <xf numFmtId="44" fontId="7" fillId="0" borderId="0" xfId="3" applyFont="1" applyAlignment="1">
      <alignment horizontal="right"/>
    </xf>
    <xf numFmtId="44" fontId="0" fillId="0" borderId="0" xfId="0" applyNumberFormat="1"/>
    <xf numFmtId="167" fontId="9" fillId="0" borderId="0" xfId="1" applyNumberFormat="1" applyFont="1"/>
    <xf numFmtId="0" fontId="2" fillId="0" borderId="0" xfId="0" applyFont="1" applyAlignment="1">
      <alignment horizontal="right"/>
    </xf>
    <xf numFmtId="10" fontId="0" fillId="0" borderId="0" xfId="2" applyNumberFormat="1" applyFont="1"/>
    <xf numFmtId="167" fontId="9" fillId="0" borderId="0" xfId="0" applyNumberFormat="1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BFAD9-1B81-4848-9CC7-5BE2BB8DFBED}">
  <dimension ref="B2:K158"/>
  <sheetViews>
    <sheetView zoomScaleNormal="100" workbookViewId="0">
      <selection activeCell="E16" sqref="E16"/>
    </sheetView>
  </sheetViews>
  <sheetFormatPr baseColWidth="10" defaultRowHeight="16" x14ac:dyDescent="0.2"/>
  <cols>
    <col min="1" max="1" width="3.5" customWidth="1"/>
    <col min="2" max="2" width="38.5" bestFit="1" customWidth="1"/>
    <col min="3" max="3" width="15.1640625" bestFit="1" customWidth="1"/>
    <col min="4" max="5" width="11.83203125" bestFit="1" customWidth="1"/>
    <col min="6" max="6" width="14.6640625" bestFit="1" customWidth="1"/>
    <col min="7" max="10" width="13.33203125" bestFit="1" customWidth="1"/>
    <col min="11" max="11" width="14.33203125" bestFit="1" customWidth="1"/>
  </cols>
  <sheetData>
    <row r="2" spans="2:11" ht="27" thickBot="1" x14ac:dyDescent="0.3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2">
      <c r="B3" s="3" t="s">
        <v>7</v>
      </c>
    </row>
    <row r="4" spans="2:11" x14ac:dyDescent="0.2">
      <c r="I4" s="48"/>
    </row>
    <row r="5" spans="2:11" x14ac:dyDescent="0.2">
      <c r="B5" t="s">
        <v>1</v>
      </c>
      <c r="C5" s="11" t="s">
        <v>6</v>
      </c>
      <c r="D5" s="10"/>
    </row>
    <row r="6" spans="2:11" x14ac:dyDescent="0.2">
      <c r="B6" t="s">
        <v>2</v>
      </c>
      <c r="C6" s="11" t="s">
        <v>130</v>
      </c>
      <c r="G6" s="9"/>
    </row>
    <row r="7" spans="2:11" x14ac:dyDescent="0.2">
      <c r="B7" t="s">
        <v>3</v>
      </c>
      <c r="C7" s="44">
        <v>12.74</v>
      </c>
    </row>
    <row r="8" spans="2:11" x14ac:dyDescent="0.2">
      <c r="B8" t="s">
        <v>4</v>
      </c>
      <c r="C8" s="11">
        <v>45270</v>
      </c>
    </row>
    <row r="9" spans="2:11" x14ac:dyDescent="0.2">
      <c r="B9" t="s">
        <v>5</v>
      </c>
      <c r="C9" s="12">
        <v>44926</v>
      </c>
    </row>
    <row r="11" spans="2:11" ht="17" thickBot="1" x14ac:dyDescent="0.25">
      <c r="B11" s="5" t="s">
        <v>8</v>
      </c>
      <c r="C11" s="4"/>
      <c r="D11" s="4"/>
      <c r="E11" s="4"/>
      <c r="F11" s="4"/>
      <c r="G11" s="4"/>
      <c r="H11" s="4"/>
      <c r="I11" s="4"/>
      <c r="J11" s="4"/>
      <c r="K11" s="4"/>
    </row>
    <row r="12" spans="2:11" x14ac:dyDescent="0.2">
      <c r="B12" t="s">
        <v>9</v>
      </c>
      <c r="C12" s="6">
        <f>D12-1</f>
        <v>2020</v>
      </c>
      <c r="D12" s="6">
        <f>E12-1</f>
        <v>2021</v>
      </c>
      <c r="E12" s="6">
        <v>2022</v>
      </c>
      <c r="F12" s="7">
        <f>E12+1</f>
        <v>2023</v>
      </c>
      <c r="G12" s="7">
        <f t="shared" ref="G12:K12" si="0">F12+1</f>
        <v>2024</v>
      </c>
      <c r="H12" s="7">
        <f t="shared" si="0"/>
        <v>2025</v>
      </c>
      <c r="I12" s="7">
        <f t="shared" si="0"/>
        <v>2026</v>
      </c>
      <c r="J12" s="7">
        <f t="shared" si="0"/>
        <v>2027</v>
      </c>
      <c r="K12" s="7">
        <f t="shared" si="0"/>
        <v>2028</v>
      </c>
    </row>
    <row r="13" spans="2:11" ht="17" thickBot="1" x14ac:dyDescent="0.25">
      <c r="B13" s="4" t="s">
        <v>10</v>
      </c>
      <c r="C13" s="13">
        <v>44196</v>
      </c>
      <c r="D13" s="13">
        <v>44561</v>
      </c>
      <c r="E13" s="13">
        <v>44926</v>
      </c>
      <c r="F13" s="8">
        <f>EOMONTH(E13,12)</f>
        <v>45291</v>
      </c>
      <c r="G13" s="8">
        <f t="shared" ref="G13:K13" si="1">EOMONTH(F13,12)</f>
        <v>45657</v>
      </c>
      <c r="H13" s="8">
        <f t="shared" si="1"/>
        <v>46022</v>
      </c>
      <c r="I13" s="8">
        <f t="shared" si="1"/>
        <v>46387</v>
      </c>
      <c r="J13" s="8">
        <f t="shared" si="1"/>
        <v>46752</v>
      </c>
      <c r="K13" s="8">
        <f t="shared" si="1"/>
        <v>47118</v>
      </c>
    </row>
    <row r="15" spans="2:11" x14ac:dyDescent="0.2">
      <c r="B15" t="s">
        <v>11</v>
      </c>
      <c r="C15" s="14">
        <v>3641389</v>
      </c>
      <c r="D15" s="14">
        <v>5995419</v>
      </c>
      <c r="E15" s="14">
        <v>8935611</v>
      </c>
      <c r="F15" s="18">
        <f>F61+F67+F69+F72</f>
        <v>11129793</v>
      </c>
      <c r="G15" s="18">
        <f t="shared" ref="G15:H15" si="2">G61+G67+G69+G72</f>
        <v>13561057.85</v>
      </c>
      <c r="H15" s="18">
        <f t="shared" si="2"/>
        <v>16518488.538000001</v>
      </c>
      <c r="I15" s="18">
        <f>I61+I67+I69+I72</f>
        <v>19430233.409400001</v>
      </c>
      <c r="J15" s="18">
        <f t="shared" ref="J15:K15" si="3">J61+J67+J69+J72</f>
        <v>22939934.95510475</v>
      </c>
      <c r="K15" s="18">
        <f t="shared" si="3"/>
        <v>26116601.624259241</v>
      </c>
    </row>
    <row r="16" spans="2:11" x14ac:dyDescent="0.2">
      <c r="B16" t="s">
        <v>12</v>
      </c>
      <c r="C16" s="14">
        <v>-2935182</v>
      </c>
      <c r="D16" s="14">
        <v>-4960951</v>
      </c>
      <c r="E16" s="14">
        <v>-7550960</v>
      </c>
      <c r="F16" s="16">
        <f>F64</f>
        <v>-9341434.375</v>
      </c>
      <c r="G16" s="16">
        <f t="shared" ref="G16:H16" si="4">G64</f>
        <v>-11271313.125</v>
      </c>
      <c r="H16" s="16">
        <f t="shared" si="4"/>
        <v>-13612796.752499999</v>
      </c>
      <c r="I16" s="16">
        <f>I64</f>
        <v>-15882615.896400001</v>
      </c>
      <c r="J16" s="16">
        <f t="shared" ref="J16:K16" si="5">J64</f>
        <v>-18834870.656772502</v>
      </c>
      <c r="K16" s="16">
        <f t="shared" si="5"/>
        <v>-21478664.427860744</v>
      </c>
    </row>
    <row r="17" spans="2:11" x14ac:dyDescent="0.2">
      <c r="B17" t="s">
        <v>13</v>
      </c>
      <c r="C17" s="14">
        <v>-22007</v>
      </c>
      <c r="D17" s="14">
        <v>-32951</v>
      </c>
      <c r="E17" s="14">
        <v>-54485</v>
      </c>
      <c r="F17" s="16">
        <f>-F69*F71</f>
        <v>-68801.849999999991</v>
      </c>
      <c r="G17" s="16">
        <f t="shared" ref="G17:H17" si="6">-G69*G71</f>
        <v>-78216.84</v>
      </c>
      <c r="H17" s="16">
        <f t="shared" si="6"/>
        <v>-89949.36599999998</v>
      </c>
      <c r="I17" s="16">
        <f>-I69*I71</f>
        <v>-93447.396899999992</v>
      </c>
      <c r="J17" s="16">
        <f t="shared" ref="J17:K17" si="7">-J69*J71</f>
        <v>-96745.54032</v>
      </c>
      <c r="K17" s="16">
        <f t="shared" si="7"/>
        <v>-106420.094352</v>
      </c>
    </row>
    <row r="18" spans="2:11" s="9" customFormat="1" x14ac:dyDescent="0.2">
      <c r="B18" s="9" t="s">
        <v>19</v>
      </c>
      <c r="C18" s="15">
        <f>C15+C16+C17</f>
        <v>684200</v>
      </c>
      <c r="D18" s="15">
        <f>D15+D16+D17</f>
        <v>1001517</v>
      </c>
      <c r="E18" s="15">
        <f>E15+E16+E17</f>
        <v>1330166</v>
      </c>
      <c r="F18" s="15">
        <f>F15+F16+F17</f>
        <v>1719556.7749999999</v>
      </c>
      <c r="G18" s="15">
        <f t="shared" ref="G18:H18" si="8">G15+G16+G17</f>
        <v>2211527.8849999998</v>
      </c>
      <c r="H18" s="15">
        <f t="shared" si="8"/>
        <v>2815742.4195000012</v>
      </c>
      <c r="I18" s="15">
        <f>I15+I16+I17</f>
        <v>3454170.1161000002</v>
      </c>
      <c r="J18" s="15">
        <f t="shared" ref="J18:K18" si="9">J15+J16+J17</f>
        <v>4008318.7580122477</v>
      </c>
      <c r="K18" s="15">
        <f t="shared" si="9"/>
        <v>4531517.1020464962</v>
      </c>
    </row>
    <row r="19" spans="2:11" s="9" customFormat="1" x14ac:dyDescent="0.2">
      <c r="B19" s="25" t="s">
        <v>38</v>
      </c>
      <c r="C19" s="26"/>
      <c r="D19" s="26">
        <f>D18/C18-1</f>
        <v>0.46377813504823151</v>
      </c>
      <c r="E19" s="26">
        <f>E18/D18-1</f>
        <v>0.32815119463773446</v>
      </c>
      <c r="F19" s="26">
        <f>F18/E18-1</f>
        <v>0.29273848151283377</v>
      </c>
      <c r="G19" s="26">
        <f t="shared" ref="G19:H19" si="10">G18/F18-1</f>
        <v>0.28610344081253136</v>
      </c>
      <c r="H19" s="26">
        <f t="shared" si="10"/>
        <v>0.27321135699810606</v>
      </c>
      <c r="I19" s="26">
        <f>I18/H18-1</f>
        <v>0.22673512043525856</v>
      </c>
      <c r="J19" s="26">
        <f t="shared" ref="J19:K19" si="11">J18/I18-1</f>
        <v>0.16042887966905361</v>
      </c>
      <c r="K19" s="26">
        <f t="shared" si="11"/>
        <v>0.13052812803084213</v>
      </c>
    </row>
    <row r="20" spans="2:11" s="9" customFormat="1" x14ac:dyDescent="0.2">
      <c r="B20" s="25" t="s">
        <v>44</v>
      </c>
      <c r="C20" s="26">
        <f>C18/C15</f>
        <v>0.1878953333466982</v>
      </c>
      <c r="D20" s="26">
        <f t="shared" ref="D20:F20" si="12">D18/D15</f>
        <v>0.16704704041535712</v>
      </c>
      <c r="E20" s="26">
        <f t="shared" si="12"/>
        <v>0.14886122504661406</v>
      </c>
      <c r="F20" s="26">
        <f t="shared" si="12"/>
        <v>0.15450033751750819</v>
      </c>
      <c r="G20" s="26">
        <f t="shared" ref="G20:I20" si="13">G18/G15</f>
        <v>0.16307930468713397</v>
      </c>
      <c r="H20" s="26">
        <f t="shared" si="13"/>
        <v>0.17046005226340891</v>
      </c>
      <c r="I20" s="26">
        <f t="shared" si="13"/>
        <v>0.17777296048481508</v>
      </c>
      <c r="J20" s="26">
        <f t="shared" ref="J20:K20" si="14">J18/J15</f>
        <v>0.17473104286724619</v>
      </c>
      <c r="K20" s="26">
        <f t="shared" si="14"/>
        <v>0.17351097846655714</v>
      </c>
    </row>
    <row r="21" spans="2:11" x14ac:dyDescent="0.2">
      <c r="B21" t="s">
        <v>14</v>
      </c>
      <c r="C21" s="14">
        <v>-151440</v>
      </c>
      <c r="D21" s="14">
        <v>-199141</v>
      </c>
      <c r="E21" s="14">
        <v>-328316</v>
      </c>
      <c r="F21" s="16">
        <f>E21*(1+F22)</f>
        <v>-492474</v>
      </c>
      <c r="G21" s="16">
        <f t="shared" ref="G21:K21" si="15">F21*(1+G22)</f>
        <v>-689463.6</v>
      </c>
      <c r="H21" s="16">
        <f t="shared" si="15"/>
        <v>-861829.5</v>
      </c>
      <c r="I21" s="16">
        <f t="shared" si="15"/>
        <v>-1034195.3999999999</v>
      </c>
      <c r="J21" s="16">
        <f t="shared" si="15"/>
        <v>-1137614.94</v>
      </c>
      <c r="K21" s="16">
        <f t="shared" si="15"/>
        <v>-1251376.4340000001</v>
      </c>
    </row>
    <row r="22" spans="2:11" x14ac:dyDescent="0.2">
      <c r="B22" s="25" t="s">
        <v>38</v>
      </c>
      <c r="C22" s="14"/>
      <c r="D22" s="26">
        <f>D21/C21-1</f>
        <v>0.3149828314844163</v>
      </c>
      <c r="E22" s="26">
        <f>E21/D21-1</f>
        <v>0.64866099899066487</v>
      </c>
      <c r="F22" s="29">
        <v>0.5</v>
      </c>
      <c r="G22" s="29">
        <v>0.4</v>
      </c>
      <c r="H22" s="29">
        <v>0.25</v>
      </c>
      <c r="I22" s="29">
        <v>0.2</v>
      </c>
      <c r="J22" s="29">
        <v>0.1</v>
      </c>
      <c r="K22" s="29">
        <v>0.1</v>
      </c>
    </row>
    <row r="23" spans="2:11" x14ac:dyDescent="0.2">
      <c r="B23" s="25" t="s">
        <v>42</v>
      </c>
      <c r="C23" s="26">
        <f>-C21/C18</f>
        <v>0.2213387898275358</v>
      </c>
      <c r="D23" s="26">
        <f t="shared" ref="D23:I23" si="16">-D21/D18</f>
        <v>0.19883936068983352</v>
      </c>
      <c r="E23" s="26">
        <f t="shared" si="16"/>
        <v>0.24682332881760621</v>
      </c>
      <c r="F23" s="26">
        <f t="shared" si="16"/>
        <v>0.28639589408148508</v>
      </c>
      <c r="G23" s="26">
        <f t="shared" si="16"/>
        <v>0.31175894487986527</v>
      </c>
      <c r="H23" s="26">
        <f t="shared" si="16"/>
        <v>0.30607540449422121</v>
      </c>
      <c r="I23" s="26">
        <f t="shared" si="16"/>
        <v>0.29940488315256425</v>
      </c>
      <c r="J23" s="26">
        <f>-J21/J18</f>
        <v>0.28381349106181136</v>
      </c>
      <c r="K23" s="26">
        <f>-K21/K18</f>
        <v>0.27614955561678473</v>
      </c>
    </row>
    <row r="24" spans="2:11" x14ac:dyDescent="0.2">
      <c r="B24" t="s">
        <v>15</v>
      </c>
      <c r="C24" s="14">
        <v>-28574</v>
      </c>
      <c r="D24" s="14">
        <v>-41398</v>
      </c>
      <c r="E24" s="14">
        <v>-52271</v>
      </c>
      <c r="F24" s="16">
        <f>E24*(1+F25)</f>
        <v>-65338.75</v>
      </c>
      <c r="G24" s="16">
        <f t="shared" ref="G24:K24" si="17">F24*(1+G25)</f>
        <v>-78406.5</v>
      </c>
      <c r="H24" s="16">
        <f t="shared" si="17"/>
        <v>-94087.8</v>
      </c>
      <c r="I24" s="16">
        <f t="shared" si="17"/>
        <v>-108200.97</v>
      </c>
      <c r="J24" s="16">
        <f t="shared" si="17"/>
        <v>-119021.06700000001</v>
      </c>
      <c r="K24" s="16">
        <f t="shared" si="17"/>
        <v>-130923.17370000003</v>
      </c>
    </row>
    <row r="25" spans="2:11" x14ac:dyDescent="0.2">
      <c r="B25" s="25" t="s">
        <v>38</v>
      </c>
      <c r="C25" s="14"/>
      <c r="D25" s="26">
        <f>D24/C24-1</f>
        <v>0.44879960803527674</v>
      </c>
      <c r="E25" s="26">
        <f>E24/D24-1</f>
        <v>0.26264553843180827</v>
      </c>
      <c r="F25" s="29">
        <v>0.25</v>
      </c>
      <c r="G25" s="29">
        <v>0.2</v>
      </c>
      <c r="H25" s="29">
        <v>0.2</v>
      </c>
      <c r="I25" s="29">
        <v>0.15</v>
      </c>
      <c r="J25" s="29">
        <v>0.1</v>
      </c>
      <c r="K25" s="29">
        <v>0.1</v>
      </c>
    </row>
    <row r="26" spans="2:11" x14ac:dyDescent="0.2">
      <c r="B26" s="25" t="s">
        <v>102</v>
      </c>
      <c r="C26" s="26">
        <f>C24/C21</f>
        <v>0.18868198626518753</v>
      </c>
      <c r="D26" s="26">
        <f t="shared" ref="D26:J26" si="18">D24/D21</f>
        <v>0.20788285687025776</v>
      </c>
      <c r="E26" s="26">
        <f t="shared" si="18"/>
        <v>0.15920942019274115</v>
      </c>
      <c r="F26" s="26">
        <f t="shared" si="18"/>
        <v>0.13267451682728429</v>
      </c>
      <c r="G26" s="26">
        <f t="shared" si="18"/>
        <v>0.11372101442338653</v>
      </c>
      <c r="H26" s="26">
        <f t="shared" si="18"/>
        <v>0.10917217384645107</v>
      </c>
      <c r="I26" s="26">
        <f t="shared" si="18"/>
        <v>0.10462333326951562</v>
      </c>
      <c r="J26" s="26">
        <f t="shared" si="18"/>
        <v>0.10462333326951562</v>
      </c>
      <c r="K26" s="26">
        <f t="shared" ref="K26" si="19">K24/K21</f>
        <v>0.10462333326951562</v>
      </c>
    </row>
    <row r="27" spans="2:11" x14ac:dyDescent="0.2">
      <c r="B27" s="25" t="s">
        <v>42</v>
      </c>
      <c r="C27" s="26">
        <f>-C24/C18</f>
        <v>4.1762642502192339E-2</v>
      </c>
      <c r="D27" s="26">
        <f>-D24/D18</f>
        <v>4.1335294358458216E-2</v>
      </c>
      <c r="E27" s="26">
        <f>-E24/E18</f>
        <v>3.9296599071093383E-2</v>
      </c>
      <c r="F27" s="26">
        <f t="shared" ref="F27:J27" si="20">-F24/F18</f>
        <v>3.7997436868579114E-2</v>
      </c>
      <c r="G27" s="26">
        <f t="shared" si="20"/>
        <v>3.545354346730293E-2</v>
      </c>
      <c r="H27" s="26">
        <f t="shared" si="20"/>
        <v>3.3414917269565948E-2</v>
      </c>
      <c r="I27" s="26">
        <f t="shared" si="20"/>
        <v>3.1324736872591109E-2</v>
      </c>
      <c r="J27" s="26">
        <f t="shared" si="20"/>
        <v>2.9693513461744585E-2</v>
      </c>
      <c r="K27" s="26">
        <f t="shared" ref="K27" si="21">-K24/K18</f>
        <v>2.8891686989523508E-2</v>
      </c>
    </row>
    <row r="28" spans="2:11" x14ac:dyDescent="0.2">
      <c r="B28" t="s">
        <v>16</v>
      </c>
      <c r="C28" s="14">
        <v>-28567</v>
      </c>
      <c r="D28" s="14">
        <v>-35011</v>
      </c>
      <c r="E28" s="14">
        <v>-63613</v>
      </c>
      <c r="F28" s="32">
        <f>-F18*F29</f>
        <v>-85977.838749999995</v>
      </c>
      <c r="G28" s="32">
        <f t="shared" ref="G28:J28" si="22">-G18*G29</f>
        <v>-110576.39425</v>
      </c>
      <c r="H28" s="32">
        <f t="shared" si="22"/>
        <v>-140787.12097500006</v>
      </c>
      <c r="I28" s="32">
        <f t="shared" si="22"/>
        <v>-172708.50580500002</v>
      </c>
      <c r="J28" s="32">
        <f t="shared" si="22"/>
        <v>-200415.93790061239</v>
      </c>
      <c r="K28" s="32">
        <f t="shared" ref="K28" si="23">-K18*K29</f>
        <v>-226575.85510232483</v>
      </c>
    </row>
    <row r="29" spans="2:11" x14ac:dyDescent="0.2">
      <c r="B29" s="25" t="s">
        <v>42</v>
      </c>
      <c r="C29" s="26">
        <f>-C28/C18</f>
        <v>4.1752411575562698E-2</v>
      </c>
      <c r="D29" s="26">
        <f t="shared" ref="D29:E29" si="24">-D28/D18</f>
        <v>3.4957968761388972E-2</v>
      </c>
      <c r="E29" s="26">
        <f t="shared" si="24"/>
        <v>4.782335437832571E-2</v>
      </c>
      <c r="F29" s="29">
        <v>0.05</v>
      </c>
      <c r="G29" s="29">
        <v>0.05</v>
      </c>
      <c r="H29" s="29">
        <v>0.05</v>
      </c>
      <c r="I29" s="29">
        <v>0.05</v>
      </c>
      <c r="J29" s="29">
        <v>0.05</v>
      </c>
      <c r="K29" s="29">
        <v>0.05</v>
      </c>
    </row>
    <row r="30" spans="2:11" x14ac:dyDescent="0.2">
      <c r="B30" t="s">
        <v>17</v>
      </c>
      <c r="C30" s="14">
        <v>-101889</v>
      </c>
      <c r="D30" s="14">
        <v>-131236</v>
      </c>
      <c r="E30" s="14">
        <v>-221237</v>
      </c>
      <c r="F30" s="32">
        <f>-F18*F31</f>
        <v>-257933.51624999999</v>
      </c>
      <c r="G30" s="32">
        <f t="shared" ref="G30:J30" si="25">-G18*G31</f>
        <v>-331729.18274999998</v>
      </c>
      <c r="H30" s="32">
        <f t="shared" si="25"/>
        <v>-394203.93873000023</v>
      </c>
      <c r="I30" s="32">
        <f t="shared" si="25"/>
        <v>-483583.81625400006</v>
      </c>
      <c r="J30" s="32">
        <f t="shared" si="25"/>
        <v>-561164.62612171471</v>
      </c>
      <c r="K30" s="32">
        <f t="shared" ref="K30" si="26">-K18*K31</f>
        <v>-634412.39428650949</v>
      </c>
    </row>
    <row r="31" spans="2:11" x14ac:dyDescent="0.2">
      <c r="B31" s="25" t="s">
        <v>42</v>
      </c>
      <c r="C31" s="26">
        <f>-C30/C18</f>
        <v>0.14891698333820522</v>
      </c>
      <c r="D31" s="26">
        <f t="shared" ref="D31:E31" si="27">-D30/D18</f>
        <v>0.13103721654250503</v>
      </c>
      <c r="E31" s="26">
        <f t="shared" si="27"/>
        <v>0.16632284993000873</v>
      </c>
      <c r="F31" s="29">
        <v>0.15</v>
      </c>
      <c r="G31" s="29">
        <v>0.15</v>
      </c>
      <c r="H31" s="29">
        <v>0.14000000000000001</v>
      </c>
      <c r="I31" s="29">
        <v>0.14000000000000001</v>
      </c>
      <c r="J31" s="29">
        <v>0.14000000000000001</v>
      </c>
      <c r="K31" s="29">
        <v>0.14000000000000001</v>
      </c>
    </row>
    <row r="32" spans="2:11" x14ac:dyDescent="0.2">
      <c r="B32" t="s">
        <v>18</v>
      </c>
      <c r="C32" s="14">
        <v>183</v>
      </c>
      <c r="D32" s="14">
        <v>250</v>
      </c>
      <c r="E32" s="14">
        <v>-54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</row>
    <row r="33" spans="2:11" x14ac:dyDescent="0.2">
      <c r="B33" s="9" t="s">
        <v>43</v>
      </c>
      <c r="C33" s="17">
        <f>C18+C21+C24+C28+C30+C32</f>
        <v>373913</v>
      </c>
      <c r="D33" s="17">
        <f>D18+D21+D24+D28+D30+D32</f>
        <v>594981</v>
      </c>
      <c r="E33" s="17">
        <f>E18+E21+E24+E28+E30+E32</f>
        <v>664675</v>
      </c>
      <c r="F33" s="17">
        <f t="shared" ref="F33:J33" si="28">F18+F21+F24+F28+F30+F32</f>
        <v>817832.66999999981</v>
      </c>
      <c r="G33" s="17">
        <f t="shared" si="28"/>
        <v>1001352.2079999999</v>
      </c>
      <c r="H33" s="17">
        <f t="shared" si="28"/>
        <v>1324834.0597950008</v>
      </c>
      <c r="I33" s="17">
        <f t="shared" si="28"/>
        <v>1655481.4240409997</v>
      </c>
      <c r="J33" s="17">
        <f t="shared" si="28"/>
        <v>1990102.1869899207</v>
      </c>
      <c r="K33" s="17">
        <f t="shared" ref="K33" si="29">K18+K21+K24+K28+K30+K32</f>
        <v>2288229.2449576613</v>
      </c>
    </row>
    <row r="34" spans="2:11" x14ac:dyDescent="0.2">
      <c r="B34" s="25" t="s">
        <v>45</v>
      </c>
      <c r="C34" s="26">
        <f>C33/C18</f>
        <v>0.54649663840982166</v>
      </c>
      <c r="D34" s="26">
        <f t="shared" ref="D34:J34" si="30">D33/D18</f>
        <v>0.5940797809722651</v>
      </c>
      <c r="E34" s="26">
        <f t="shared" si="30"/>
        <v>0.49969327136613023</v>
      </c>
      <c r="F34" s="26">
        <f t="shared" si="30"/>
        <v>0.47560666904993576</v>
      </c>
      <c r="G34" s="26">
        <f t="shared" si="30"/>
        <v>0.45278751165283182</v>
      </c>
      <c r="H34" s="26">
        <f t="shared" si="30"/>
        <v>0.47050967823621276</v>
      </c>
      <c r="I34" s="26">
        <f t="shared" si="30"/>
        <v>0.47927037997484445</v>
      </c>
      <c r="J34" s="26">
        <f t="shared" si="30"/>
        <v>0.49649299547644404</v>
      </c>
      <c r="K34" s="26">
        <f t="shared" ref="K34" si="31">K33/K18</f>
        <v>0.50495875739369167</v>
      </c>
    </row>
    <row r="35" spans="2:11" x14ac:dyDescent="0.2">
      <c r="B35" s="9" t="s">
        <v>46</v>
      </c>
      <c r="C35" s="17">
        <f>C33-C28</f>
        <v>402480</v>
      </c>
      <c r="D35" s="17">
        <f t="shared" ref="D35:J35" si="32">D33-D28</f>
        <v>629992</v>
      </c>
      <c r="E35" s="17">
        <f t="shared" si="32"/>
        <v>728288</v>
      </c>
      <c r="F35" s="17">
        <f t="shared" si="32"/>
        <v>903810.5087499998</v>
      </c>
      <c r="G35" s="17">
        <f t="shared" si="32"/>
        <v>1111928.6022499998</v>
      </c>
      <c r="H35" s="17">
        <f t="shared" si="32"/>
        <v>1465621.1807700009</v>
      </c>
      <c r="I35" s="17">
        <f t="shared" si="32"/>
        <v>1828189.9298459997</v>
      </c>
      <c r="J35" s="17">
        <f t="shared" si="32"/>
        <v>2190518.1248905333</v>
      </c>
      <c r="K35" s="17">
        <f t="shared" ref="K35" si="33">K33-K28</f>
        <v>2514805.1000599861</v>
      </c>
    </row>
    <row r="36" spans="2:11" x14ac:dyDescent="0.2">
      <c r="B36" t="s">
        <v>20</v>
      </c>
      <c r="C36" s="14">
        <v>1334</v>
      </c>
      <c r="D36" s="14">
        <v>1039</v>
      </c>
      <c r="E36" s="14">
        <v>29323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</row>
    <row r="37" spans="2:11" x14ac:dyDescent="0.2">
      <c r="B37" t="s">
        <v>21</v>
      </c>
      <c r="C37" s="14">
        <v>-9406</v>
      </c>
      <c r="D37" s="14">
        <v>-12788</v>
      </c>
      <c r="E37" s="14">
        <v>-11963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</row>
    <row r="38" spans="2:11" x14ac:dyDescent="0.2">
      <c r="B38" t="s">
        <v>22</v>
      </c>
      <c r="C38" s="14">
        <v>-42661</v>
      </c>
      <c r="D38" s="14">
        <v>-2385</v>
      </c>
      <c r="E38" s="14">
        <v>37904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</row>
    <row r="39" spans="2:11" x14ac:dyDescent="0.2">
      <c r="B39" s="9" t="s">
        <v>23</v>
      </c>
      <c r="C39" s="19">
        <f>C36+C37+C38</f>
        <v>-50733</v>
      </c>
      <c r="D39" s="19">
        <f>D36+D37+D38</f>
        <v>-14134</v>
      </c>
      <c r="E39" s="19">
        <f>E36+E37+E38</f>
        <v>55264</v>
      </c>
      <c r="F39" s="19">
        <f t="shared" ref="F39:J39" si="34">F36+F37+F38</f>
        <v>0</v>
      </c>
      <c r="G39" s="19">
        <f t="shared" si="34"/>
        <v>0</v>
      </c>
      <c r="H39" s="19">
        <f t="shared" si="34"/>
        <v>0</v>
      </c>
      <c r="I39" s="19">
        <f t="shared" si="34"/>
        <v>0</v>
      </c>
      <c r="J39" s="19">
        <f t="shared" si="34"/>
        <v>0</v>
      </c>
      <c r="K39" s="19">
        <f t="shared" ref="K39" si="35">K36+K37+K38</f>
        <v>0</v>
      </c>
    </row>
    <row r="40" spans="2:11" x14ac:dyDescent="0.2">
      <c r="B40" s="9" t="s">
        <v>24</v>
      </c>
      <c r="C40" s="19">
        <f>C33+C39</f>
        <v>323180</v>
      </c>
      <c r="D40" s="19">
        <f>D33+D39</f>
        <v>580847</v>
      </c>
      <c r="E40" s="19">
        <f>E33+E39</f>
        <v>719939</v>
      </c>
      <c r="F40" s="19">
        <f t="shared" ref="F40:J40" si="36">F33+F39</f>
        <v>817832.66999999981</v>
      </c>
      <c r="G40" s="19">
        <f t="shared" si="36"/>
        <v>1001352.2079999999</v>
      </c>
      <c r="H40" s="19">
        <f t="shared" si="36"/>
        <v>1324834.0597950008</v>
      </c>
      <c r="I40" s="19">
        <f t="shared" si="36"/>
        <v>1655481.4240409997</v>
      </c>
      <c r="J40" s="19">
        <f t="shared" si="36"/>
        <v>1990102.1869899207</v>
      </c>
      <c r="K40" s="19">
        <f t="shared" ref="K40" si="37">K33+K39</f>
        <v>2288229.2449576613</v>
      </c>
    </row>
    <row r="41" spans="2:11" x14ac:dyDescent="0.2">
      <c r="B41" t="s">
        <v>25</v>
      </c>
      <c r="C41" s="14">
        <v>-62161</v>
      </c>
      <c r="D41" s="14">
        <v>-111130</v>
      </c>
      <c r="E41" s="14">
        <v>-155800</v>
      </c>
      <c r="F41" s="16">
        <f>-F40*F42</f>
        <v>-163566.53399999999</v>
      </c>
      <c r="G41" s="16">
        <f t="shared" ref="G41:J41" si="38">-G40*G42</f>
        <v>-200270.44159999999</v>
      </c>
      <c r="H41" s="16">
        <f t="shared" si="38"/>
        <v>-264966.81195900019</v>
      </c>
      <c r="I41" s="16">
        <f t="shared" si="38"/>
        <v>-331096.28480819997</v>
      </c>
      <c r="J41" s="16">
        <f t="shared" si="38"/>
        <v>-398020.43739798415</v>
      </c>
      <c r="K41" s="16">
        <f t="shared" ref="K41" si="39">-K40*K42</f>
        <v>-457645.84899153229</v>
      </c>
    </row>
    <row r="42" spans="2:11" x14ac:dyDescent="0.2">
      <c r="B42" s="25" t="s">
        <v>47</v>
      </c>
      <c r="C42" s="26">
        <f>-C41/C40</f>
        <v>0.19234172906739277</v>
      </c>
      <c r="D42" s="26">
        <f t="shared" ref="D42:E42" si="40">-D41/D40</f>
        <v>0.19132404919023427</v>
      </c>
      <c r="E42" s="26">
        <f t="shared" si="40"/>
        <v>0.2164072233897594</v>
      </c>
      <c r="F42" s="29">
        <v>0.2</v>
      </c>
      <c r="G42" s="29">
        <v>0.2</v>
      </c>
      <c r="H42" s="29">
        <v>0.2</v>
      </c>
      <c r="I42" s="29">
        <v>0.2</v>
      </c>
      <c r="J42" s="29">
        <v>0.2</v>
      </c>
      <c r="K42" s="29">
        <v>0.2</v>
      </c>
    </row>
    <row r="43" spans="2:11" x14ac:dyDescent="0.2">
      <c r="B43" s="9" t="s">
        <v>26</v>
      </c>
      <c r="C43" s="19">
        <f>C40+C41</f>
        <v>261019</v>
      </c>
      <c r="D43" s="19">
        <f>D40+D41</f>
        <v>469717</v>
      </c>
      <c r="E43" s="19">
        <f>E40+E41</f>
        <v>564139</v>
      </c>
      <c r="F43" s="19">
        <f t="shared" ref="F43:J43" si="41">F40+F41</f>
        <v>654266.13599999982</v>
      </c>
      <c r="G43" s="19">
        <f t="shared" si="41"/>
        <v>801081.76639999985</v>
      </c>
      <c r="H43" s="19">
        <f t="shared" si="41"/>
        <v>1059867.2478360008</v>
      </c>
      <c r="I43" s="19">
        <f t="shared" si="41"/>
        <v>1324385.1392327999</v>
      </c>
      <c r="J43" s="19">
        <f t="shared" si="41"/>
        <v>1592081.7495919366</v>
      </c>
      <c r="K43" s="19">
        <f t="shared" ref="K43" si="42">K40+K41</f>
        <v>1830583.3959661289</v>
      </c>
    </row>
    <row r="45" spans="2:11" x14ac:dyDescent="0.2">
      <c r="B45" t="s">
        <v>27</v>
      </c>
      <c r="C45" s="14">
        <v>30246923</v>
      </c>
      <c r="D45" s="14">
        <v>30499194</v>
      </c>
      <c r="E45" s="14">
        <v>30975325</v>
      </c>
      <c r="F45" s="16">
        <f>E45*(1+F46)</f>
        <v>31594831.5</v>
      </c>
      <c r="G45" s="16">
        <f t="shared" ref="G45:K45" si="43">F45*(1+G46)</f>
        <v>32068753.972499996</v>
      </c>
      <c r="H45" s="16">
        <f t="shared" si="43"/>
        <v>32549785.282087494</v>
      </c>
      <c r="I45" s="16">
        <f t="shared" si="43"/>
        <v>32875283.134908371</v>
      </c>
      <c r="J45" s="16">
        <f t="shared" si="43"/>
        <v>33204035.966257453</v>
      </c>
      <c r="K45" s="16">
        <f t="shared" si="43"/>
        <v>33536076.325920027</v>
      </c>
    </row>
    <row r="46" spans="2:11" x14ac:dyDescent="0.2">
      <c r="B46" s="25" t="s">
        <v>38</v>
      </c>
      <c r="C46" s="14"/>
      <c r="D46" s="26">
        <f>D45/C45-1</f>
        <v>8.3403855658310544E-3</v>
      </c>
      <c r="E46" s="26">
        <f>E45/D45-1</f>
        <v>1.5611265005888386E-2</v>
      </c>
      <c r="F46" s="29">
        <v>0.02</v>
      </c>
      <c r="G46" s="29">
        <v>1.4999999999999999E-2</v>
      </c>
      <c r="H46" s="29">
        <v>1.4999999999999999E-2</v>
      </c>
      <c r="I46" s="29">
        <v>0.01</v>
      </c>
      <c r="J46" s="29">
        <v>0.01</v>
      </c>
      <c r="K46" s="29">
        <v>0.01</v>
      </c>
    </row>
    <row r="47" spans="2:11" x14ac:dyDescent="0.2">
      <c r="B47" t="s">
        <v>29</v>
      </c>
      <c r="C47" s="14">
        <v>420676</v>
      </c>
      <c r="D47" s="14">
        <v>176621</v>
      </c>
      <c r="E47" s="14">
        <v>70704</v>
      </c>
      <c r="F47" s="16">
        <f>E47*(1+F48)</f>
        <v>70704</v>
      </c>
      <c r="G47" s="16">
        <f t="shared" ref="G47:K47" si="44">F47*(1+G48)</f>
        <v>70704</v>
      </c>
      <c r="H47" s="16">
        <f t="shared" si="44"/>
        <v>70704</v>
      </c>
      <c r="I47" s="16">
        <f t="shared" si="44"/>
        <v>70704</v>
      </c>
      <c r="J47" s="16">
        <f t="shared" si="44"/>
        <v>70704</v>
      </c>
      <c r="K47" s="16">
        <f t="shared" si="44"/>
        <v>70704</v>
      </c>
    </row>
    <row r="48" spans="2:11" x14ac:dyDescent="0.2">
      <c r="B48" s="25" t="s">
        <v>38</v>
      </c>
      <c r="C48" s="14"/>
      <c r="D48" s="26">
        <f>D47/C47-1</f>
        <v>-0.58014956878928203</v>
      </c>
      <c r="E48" s="26">
        <f>E47/D47-1</f>
        <v>-0.59968520164646333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</row>
    <row r="49" spans="2:11" x14ac:dyDescent="0.2">
      <c r="B49" s="9" t="s">
        <v>28</v>
      </c>
      <c r="C49" s="14">
        <f>C45+C47</f>
        <v>30667599</v>
      </c>
      <c r="D49" s="14">
        <f>D45+D47</f>
        <v>30675815</v>
      </c>
      <c r="E49" s="14">
        <f>E45+E47</f>
        <v>31046029</v>
      </c>
      <c r="F49" s="16">
        <f>F45+F47</f>
        <v>31665535.5</v>
      </c>
      <c r="G49" s="16">
        <f t="shared" ref="G49:J49" si="45">G45+G47</f>
        <v>32139457.972499996</v>
      </c>
      <c r="H49" s="16">
        <f t="shared" si="45"/>
        <v>32620489.282087494</v>
      </c>
      <c r="I49" s="16">
        <f t="shared" si="45"/>
        <v>32945987.134908371</v>
      </c>
      <c r="J49" s="16">
        <f t="shared" si="45"/>
        <v>33274739.966257453</v>
      </c>
      <c r="K49" s="16">
        <f t="shared" ref="K49" si="46">K45+K47</f>
        <v>33606780.32592003</v>
      </c>
    </row>
    <row r="50" spans="2:11" x14ac:dyDescent="0.2">
      <c r="D50" s="14"/>
      <c r="E50" s="14"/>
    </row>
    <row r="51" spans="2:11" x14ac:dyDescent="0.2">
      <c r="B51" t="s">
        <v>30</v>
      </c>
      <c r="C51" s="20">
        <f>(C43*1000)/C45</f>
        <v>8.6296050675964633</v>
      </c>
      <c r="D51" s="20">
        <f>(D43*1000)/D45</f>
        <v>15.400964366468177</v>
      </c>
      <c r="E51" s="20">
        <f>(E43*1000)/E45</f>
        <v>18.212528843523032</v>
      </c>
      <c r="F51" s="20">
        <f t="shared" ref="F51:J51" si="47">(F43*1000)/F45</f>
        <v>20.708011561954361</v>
      </c>
      <c r="G51" s="20">
        <f t="shared" si="47"/>
        <v>24.980133842648005</v>
      </c>
      <c r="H51" s="20">
        <f t="shared" si="47"/>
        <v>32.561420563940167</v>
      </c>
      <c r="I51" s="20">
        <f t="shared" si="47"/>
        <v>40.28513256594622</v>
      </c>
      <c r="J51" s="20">
        <f t="shared" si="47"/>
        <v>47.948440701902598</v>
      </c>
      <c r="K51" s="20">
        <f t="shared" ref="K51" si="48">(K43*1000)/K45</f>
        <v>54.585497068160933</v>
      </c>
    </row>
    <row r="52" spans="2:11" x14ac:dyDescent="0.2">
      <c r="B52" s="9" t="s">
        <v>31</v>
      </c>
      <c r="C52" s="21">
        <f>(C43*1000)/C49</f>
        <v>8.5112303705288443</v>
      </c>
      <c r="D52" s="21">
        <f>(D43*1000)/D49</f>
        <v>15.312290806291536</v>
      </c>
      <c r="E52" s="21">
        <f>(E43*1000)/E49</f>
        <v>18.171051763173963</v>
      </c>
      <c r="F52" s="21">
        <f t="shared" ref="F52:J52" si="49">(F43*1000)/F49</f>
        <v>20.661773933998365</v>
      </c>
      <c r="G52" s="21">
        <f t="shared" si="49"/>
        <v>24.925179730331557</v>
      </c>
      <c r="H52" s="21">
        <f t="shared" si="49"/>
        <v>32.490844593737997</v>
      </c>
      <c r="I52" s="21">
        <f t="shared" si="49"/>
        <v>40.198678334015661</v>
      </c>
      <c r="J52" s="21">
        <f t="shared" si="49"/>
        <v>47.846557214463623</v>
      </c>
      <c r="K52" s="21">
        <f t="shared" ref="K52" si="50">(K43*1000)/K49</f>
        <v>54.470656760720622</v>
      </c>
    </row>
    <row r="55" spans="2:11" ht="17" thickBot="1" x14ac:dyDescent="0.25">
      <c r="B55" s="5" t="s">
        <v>36</v>
      </c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">
      <c r="B56" t="s">
        <v>9</v>
      </c>
      <c r="C56" s="6">
        <f>D56-1</f>
        <v>2020</v>
      </c>
      <c r="D56" s="6">
        <f>E56-1</f>
        <v>2021</v>
      </c>
      <c r="E56" s="6">
        <v>2022</v>
      </c>
      <c r="F56" s="7">
        <f>E56+1</f>
        <v>2023</v>
      </c>
      <c r="G56" s="7">
        <f t="shared" ref="G56:K56" si="51">F56+1</f>
        <v>2024</v>
      </c>
      <c r="H56" s="7">
        <f t="shared" si="51"/>
        <v>2025</v>
      </c>
      <c r="I56" s="7">
        <f t="shared" si="51"/>
        <v>2026</v>
      </c>
      <c r="J56" s="7">
        <f t="shared" si="51"/>
        <v>2027</v>
      </c>
      <c r="K56" s="7">
        <f t="shared" si="51"/>
        <v>2028</v>
      </c>
    </row>
    <row r="57" spans="2:11" ht="17" thickBot="1" x14ac:dyDescent="0.25">
      <c r="B57" s="4" t="s">
        <v>10</v>
      </c>
      <c r="C57" s="13">
        <v>44196</v>
      </c>
      <c r="D57" s="13">
        <v>44561</v>
      </c>
      <c r="E57" s="13">
        <v>44926</v>
      </c>
      <c r="F57" s="8">
        <f>EOMONTH(E57,12)</f>
        <v>45291</v>
      </c>
      <c r="G57" s="8">
        <f t="shared" ref="G57:K57" si="52">EOMONTH(F57,12)</f>
        <v>45657</v>
      </c>
      <c r="H57" s="8">
        <f t="shared" si="52"/>
        <v>46022</v>
      </c>
      <c r="I57" s="8">
        <f t="shared" si="52"/>
        <v>46387</v>
      </c>
      <c r="J57" s="8">
        <f t="shared" si="52"/>
        <v>46752</v>
      </c>
      <c r="K57" s="8">
        <f t="shared" si="52"/>
        <v>47118</v>
      </c>
    </row>
    <row r="59" spans="2:11" x14ac:dyDescent="0.2">
      <c r="B59" t="s">
        <v>37</v>
      </c>
      <c r="C59" s="14">
        <v>303600000</v>
      </c>
      <c r="D59" s="14">
        <v>516000000</v>
      </c>
      <c r="E59" s="14">
        <v>767500000</v>
      </c>
      <c r="F59" s="18">
        <f>E59*(1+F60)</f>
        <v>959375000</v>
      </c>
      <c r="G59" s="18">
        <f t="shared" ref="G59:K59" si="53">F59*(1+G60)</f>
        <v>1170437500</v>
      </c>
      <c r="H59" s="18">
        <f t="shared" si="53"/>
        <v>1416229375</v>
      </c>
      <c r="I59" s="18">
        <f t="shared" si="53"/>
        <v>1671150662.5</v>
      </c>
      <c r="J59" s="18">
        <f t="shared" si="53"/>
        <v>1963602028.4375</v>
      </c>
      <c r="K59" s="18">
        <f t="shared" si="53"/>
        <v>2218870292.1343746</v>
      </c>
    </row>
    <row r="60" spans="2:11" s="26" customFormat="1" ht="15" x14ac:dyDescent="0.2">
      <c r="B60" s="25" t="s">
        <v>38</v>
      </c>
      <c r="D60" s="26">
        <f>D59/C59-1</f>
        <v>0.69960474308300391</v>
      </c>
      <c r="E60" s="26">
        <f>E59/D59-1</f>
        <v>0.48740310077519378</v>
      </c>
      <c r="F60" s="29">
        <v>0.25</v>
      </c>
      <c r="G60" s="29">
        <v>0.22</v>
      </c>
      <c r="H60" s="29">
        <v>0.21</v>
      </c>
      <c r="I60" s="29">
        <v>0.18</v>
      </c>
      <c r="J60" s="29">
        <v>0.17499999999999999</v>
      </c>
      <c r="K60" s="29">
        <v>0.13</v>
      </c>
    </row>
    <row r="61" spans="2:11" x14ac:dyDescent="0.2">
      <c r="B61" t="s">
        <v>32</v>
      </c>
      <c r="C61" s="14">
        <v>3293512</v>
      </c>
      <c r="D61" s="14">
        <v>5525079</v>
      </c>
      <c r="E61" s="14">
        <v>8270626</v>
      </c>
      <c r="F61" s="18">
        <f t="shared" ref="F61:J61" si="54">F59*F63</f>
        <v>10265312.5</v>
      </c>
      <c r="G61" s="18">
        <f t="shared" si="54"/>
        <v>12523681.25</v>
      </c>
      <c r="H61" s="18">
        <f t="shared" si="54"/>
        <v>15295277.25</v>
      </c>
      <c r="I61" s="18">
        <f t="shared" si="54"/>
        <v>18048427.155000001</v>
      </c>
      <c r="J61" s="18">
        <f t="shared" si="54"/>
        <v>21403262.109968752</v>
      </c>
      <c r="K61" s="18">
        <f t="shared" ref="K61" si="55">K59*K63</f>
        <v>24407573.213478118</v>
      </c>
    </row>
    <row r="62" spans="2:11" s="26" customFormat="1" ht="15" x14ac:dyDescent="0.2">
      <c r="B62" s="25" t="s">
        <v>38</v>
      </c>
      <c r="D62" s="26">
        <f>D61/C61-1</f>
        <v>0.67756455722645015</v>
      </c>
      <c r="E62" s="26">
        <f>E61/D61-1</f>
        <v>0.4969244783649247</v>
      </c>
      <c r="F62" s="26">
        <f>F61/E61-1</f>
        <v>0.24117720956067901</v>
      </c>
      <c r="G62" s="26">
        <f t="shared" ref="G62:K62" si="56">G61/F61-1</f>
        <v>0.21999999999999997</v>
      </c>
      <c r="H62" s="26">
        <f t="shared" si="56"/>
        <v>0.22130841121495326</v>
      </c>
      <c r="I62" s="26">
        <f t="shared" si="56"/>
        <v>0.18000000000000016</v>
      </c>
      <c r="J62" s="26">
        <f t="shared" si="56"/>
        <v>0.18587962962962967</v>
      </c>
      <c r="K62" s="26">
        <f t="shared" si="56"/>
        <v>0.14036697247706376</v>
      </c>
    </row>
    <row r="63" spans="2:11" s="26" customFormat="1" ht="15" x14ac:dyDescent="0.2">
      <c r="B63" s="25" t="s">
        <v>39</v>
      </c>
      <c r="C63" s="27">
        <f>C61/C59</f>
        <v>1.0848194993412386E-2</v>
      </c>
      <c r="D63" s="27">
        <f t="shared" ref="D63" si="57">D61/D59</f>
        <v>1.0707517441860465E-2</v>
      </c>
      <c r="E63" s="27">
        <f>E61/E59</f>
        <v>1.077605993485342E-2</v>
      </c>
      <c r="F63" s="30">
        <v>1.0699999999999999E-2</v>
      </c>
      <c r="G63" s="30">
        <v>1.0699999999999999E-2</v>
      </c>
      <c r="H63" s="30">
        <v>1.0800000000000001E-2</v>
      </c>
      <c r="I63" s="30">
        <v>1.0800000000000001E-2</v>
      </c>
      <c r="J63" s="30">
        <v>1.09E-2</v>
      </c>
      <c r="K63" s="30">
        <v>1.0999999999999999E-2</v>
      </c>
    </row>
    <row r="64" spans="2:11" s="26" customFormat="1" ht="15" x14ac:dyDescent="0.2">
      <c r="B64" s="25" t="s">
        <v>40</v>
      </c>
      <c r="C64" s="28">
        <f>C16</f>
        <v>-2935182</v>
      </c>
      <c r="D64" s="28">
        <f>D16</f>
        <v>-4960951</v>
      </c>
      <c r="E64" s="28">
        <f>E16</f>
        <v>-7550960</v>
      </c>
      <c r="F64" s="28">
        <f>-F61*F65</f>
        <v>-9341434.375</v>
      </c>
      <c r="G64" s="28">
        <f>-G61*G65</f>
        <v>-11271313.125</v>
      </c>
      <c r="H64" s="28">
        <f t="shared" ref="H64:J64" si="58">-H61*H65</f>
        <v>-13612796.752499999</v>
      </c>
      <c r="I64" s="28">
        <f t="shared" si="58"/>
        <v>-15882615.896400001</v>
      </c>
      <c r="J64" s="28">
        <f t="shared" si="58"/>
        <v>-18834870.656772502</v>
      </c>
      <c r="K64" s="28">
        <f t="shared" ref="K64" si="59">-K61*K65</f>
        <v>-21478664.427860744</v>
      </c>
    </row>
    <row r="65" spans="2:11" s="26" customFormat="1" ht="15" x14ac:dyDescent="0.2">
      <c r="B65" s="25" t="s">
        <v>100</v>
      </c>
      <c r="C65" s="26">
        <f>-C64/C61</f>
        <v>0.89120124657204836</v>
      </c>
      <c r="D65" s="26">
        <f t="shared" ref="D65:E65" si="60">-D64/D61</f>
        <v>0.89789684455190599</v>
      </c>
      <c r="E65" s="26">
        <f t="shared" si="60"/>
        <v>0.91298530486084128</v>
      </c>
      <c r="F65" s="29">
        <v>0.91</v>
      </c>
      <c r="G65" s="29">
        <v>0.9</v>
      </c>
      <c r="H65" s="29">
        <v>0.89</v>
      </c>
      <c r="I65" s="29">
        <v>0.88</v>
      </c>
      <c r="J65" s="29">
        <v>0.88</v>
      </c>
      <c r="K65" s="29">
        <v>0.88</v>
      </c>
    </row>
    <row r="66" spans="2:11" s="26" customFormat="1" ht="15" x14ac:dyDescent="0.2">
      <c r="B66" s="25" t="s">
        <v>41</v>
      </c>
      <c r="C66" s="28">
        <f>C61+C64</f>
        <v>358330</v>
      </c>
      <c r="D66" s="28">
        <f t="shared" ref="D66:E66" si="61">D61+D64</f>
        <v>564128</v>
      </c>
      <c r="E66" s="28">
        <f t="shared" si="61"/>
        <v>719666</v>
      </c>
      <c r="F66" s="28">
        <f>F61+F64</f>
        <v>923878.125</v>
      </c>
      <c r="G66" s="28">
        <f t="shared" ref="G66:J66" si="62">G61+G64</f>
        <v>1252368.125</v>
      </c>
      <c r="H66" s="28">
        <f t="shared" si="62"/>
        <v>1682480.4975000005</v>
      </c>
      <c r="I66" s="28">
        <f t="shared" si="62"/>
        <v>2165811.2586000003</v>
      </c>
      <c r="J66" s="28">
        <f t="shared" si="62"/>
        <v>2568391.4531962499</v>
      </c>
      <c r="K66" s="28">
        <f t="shared" ref="K66" si="63">K61+K64</f>
        <v>2928908.7856173739</v>
      </c>
    </row>
    <row r="67" spans="2:11" x14ac:dyDescent="0.2">
      <c r="B67" t="s">
        <v>33</v>
      </c>
      <c r="C67" s="14">
        <v>217208</v>
      </c>
      <c r="D67" s="14">
        <v>289824</v>
      </c>
      <c r="E67" s="14">
        <v>387541</v>
      </c>
      <c r="F67" s="18">
        <f>E67*(1+F68)</f>
        <v>503803.3</v>
      </c>
      <c r="G67" s="18">
        <f t="shared" ref="G67:K67" si="64">F67*(1+G68)</f>
        <v>604563.96</v>
      </c>
      <c r="H67" s="18">
        <f t="shared" si="64"/>
        <v>725476.75199999998</v>
      </c>
      <c r="I67" s="18">
        <f t="shared" si="64"/>
        <v>834298.26479999989</v>
      </c>
      <c r="J67" s="18">
        <f t="shared" si="64"/>
        <v>934414.05657599994</v>
      </c>
      <c r="K67" s="18">
        <f t="shared" si="64"/>
        <v>1046543.74336512</v>
      </c>
    </row>
    <row r="68" spans="2:11" x14ac:dyDescent="0.2">
      <c r="B68" s="25" t="s">
        <v>38</v>
      </c>
      <c r="C68" s="26"/>
      <c r="D68" s="26">
        <f>D67/C67-1</f>
        <v>0.3343154948252367</v>
      </c>
      <c r="E68" s="26">
        <f>E67/D67-1</f>
        <v>0.33715979352986647</v>
      </c>
      <c r="F68" s="29">
        <v>0.3</v>
      </c>
      <c r="G68" s="29">
        <v>0.2</v>
      </c>
      <c r="H68" s="29">
        <v>0.2</v>
      </c>
      <c r="I68" s="29">
        <v>0.15</v>
      </c>
      <c r="J68" s="29">
        <v>0.12</v>
      </c>
      <c r="K68" s="29">
        <v>0.12</v>
      </c>
    </row>
    <row r="69" spans="2:11" x14ac:dyDescent="0.2">
      <c r="B69" t="s">
        <v>34</v>
      </c>
      <c r="C69" s="14">
        <v>19353</v>
      </c>
      <c r="D69" s="14">
        <v>33042</v>
      </c>
      <c r="E69" s="14">
        <v>55710</v>
      </c>
      <c r="F69" s="18">
        <f>E69*(1+F70)</f>
        <v>72423</v>
      </c>
      <c r="G69" s="18">
        <f t="shared" ref="G69:K69" si="65">F69*(1+G70)</f>
        <v>86907.599999999991</v>
      </c>
      <c r="H69" s="18">
        <f t="shared" si="65"/>
        <v>99943.739999999976</v>
      </c>
      <c r="I69" s="18">
        <f t="shared" si="65"/>
        <v>109938.11399999999</v>
      </c>
      <c r="J69" s="18">
        <f t="shared" si="65"/>
        <v>120931.92539999999</v>
      </c>
      <c r="K69" s="18">
        <f t="shared" si="65"/>
        <v>133025.11794</v>
      </c>
    </row>
    <row r="70" spans="2:11" x14ac:dyDescent="0.2">
      <c r="B70" s="25" t="s">
        <v>38</v>
      </c>
      <c r="C70" s="14"/>
      <c r="D70" s="26">
        <f>D69/C69-1</f>
        <v>0.70733219655867297</v>
      </c>
      <c r="E70" s="26">
        <f>E69/D69-1</f>
        <v>0.68603595424005803</v>
      </c>
      <c r="F70" s="29">
        <v>0.3</v>
      </c>
      <c r="G70" s="29">
        <v>0.2</v>
      </c>
      <c r="H70" s="29">
        <v>0.15</v>
      </c>
      <c r="I70" s="29">
        <v>0.1</v>
      </c>
      <c r="J70" s="29">
        <v>0.1</v>
      </c>
      <c r="K70" s="29">
        <v>0.1</v>
      </c>
    </row>
    <row r="71" spans="2:11" x14ac:dyDescent="0.2">
      <c r="B71" s="25" t="s">
        <v>101</v>
      </c>
      <c r="C71" s="31">
        <f>-C17/C69</f>
        <v>1.1371363612876557</v>
      </c>
      <c r="D71" s="31">
        <f t="shared" ref="D71:E71" si="66">-D17/D69</f>
        <v>0.99724592942315837</v>
      </c>
      <c r="E71" s="31">
        <f t="shared" si="66"/>
        <v>0.97801112906120979</v>
      </c>
      <c r="F71" s="29">
        <v>0.95</v>
      </c>
      <c r="G71" s="29">
        <v>0.9</v>
      </c>
      <c r="H71" s="29">
        <v>0.9</v>
      </c>
      <c r="I71" s="29">
        <v>0.85</v>
      </c>
      <c r="J71" s="29">
        <v>0.8</v>
      </c>
      <c r="K71" s="29">
        <v>0.8</v>
      </c>
    </row>
    <row r="72" spans="2:11" x14ac:dyDescent="0.2">
      <c r="B72" t="s">
        <v>35</v>
      </c>
      <c r="C72" s="14">
        <v>111316</v>
      </c>
      <c r="D72" s="14">
        <v>147474</v>
      </c>
      <c r="E72" s="14">
        <v>221734</v>
      </c>
      <c r="F72" s="18">
        <f>E72*(1+F73)</f>
        <v>288254.2</v>
      </c>
      <c r="G72" s="18">
        <f t="shared" ref="G72:K72" si="67">F72*(1+G73)</f>
        <v>345905.04</v>
      </c>
      <c r="H72" s="18">
        <f t="shared" si="67"/>
        <v>397790.79599999997</v>
      </c>
      <c r="I72" s="18">
        <f t="shared" si="67"/>
        <v>437569.87560000003</v>
      </c>
      <c r="J72" s="18">
        <f t="shared" si="67"/>
        <v>481326.86316000007</v>
      </c>
      <c r="K72" s="18">
        <f t="shared" si="67"/>
        <v>529459.54947600013</v>
      </c>
    </row>
    <row r="73" spans="2:11" x14ac:dyDescent="0.2">
      <c r="B73" s="25" t="s">
        <v>38</v>
      </c>
      <c r="D73" s="26">
        <f>D72/C72-1</f>
        <v>0.32482302633943005</v>
      </c>
      <c r="E73" s="26">
        <f>E72/D72-1</f>
        <v>0.5035463878378561</v>
      </c>
      <c r="F73" s="29">
        <v>0.3</v>
      </c>
      <c r="G73" s="29">
        <v>0.2</v>
      </c>
      <c r="H73" s="29">
        <v>0.15</v>
      </c>
      <c r="I73" s="29">
        <v>0.1</v>
      </c>
      <c r="J73" s="29">
        <v>0.1</v>
      </c>
      <c r="K73" s="29">
        <v>0.1</v>
      </c>
    </row>
    <row r="75" spans="2:11" ht="17" thickBot="1" x14ac:dyDescent="0.25">
      <c r="B75" s="5" t="s">
        <v>48</v>
      </c>
      <c r="C75" s="4"/>
      <c r="D75" s="4"/>
      <c r="E75" s="4"/>
      <c r="F75" s="4"/>
      <c r="G75" s="4"/>
      <c r="H75" s="4"/>
      <c r="I75" s="4"/>
      <c r="J75" s="4"/>
      <c r="K75" s="4"/>
    </row>
    <row r="76" spans="2:11" x14ac:dyDescent="0.2">
      <c r="B76" t="s">
        <v>9</v>
      </c>
      <c r="C76" s="6">
        <f>D76-1</f>
        <v>2020</v>
      </c>
      <c r="D76" s="6">
        <f>E76-1</f>
        <v>2021</v>
      </c>
      <c r="E76" s="6">
        <v>2022</v>
      </c>
      <c r="F76" s="7">
        <f>E76+1</f>
        <v>2023</v>
      </c>
      <c r="G76" s="7">
        <f t="shared" ref="G76:K76" si="68">F76+1</f>
        <v>2024</v>
      </c>
      <c r="H76" s="7">
        <f t="shared" si="68"/>
        <v>2025</v>
      </c>
      <c r="I76" s="7">
        <f t="shared" si="68"/>
        <v>2026</v>
      </c>
      <c r="J76" s="7">
        <f t="shared" si="68"/>
        <v>2027</v>
      </c>
      <c r="K76" s="7">
        <f t="shared" si="68"/>
        <v>2028</v>
      </c>
    </row>
    <row r="77" spans="2:11" ht="17" thickBot="1" x14ac:dyDescent="0.25">
      <c r="B77" s="4" t="s">
        <v>10</v>
      </c>
      <c r="C77" s="13">
        <v>44196</v>
      </c>
      <c r="D77" s="13">
        <v>44561</v>
      </c>
      <c r="E77" s="13">
        <v>44926</v>
      </c>
      <c r="F77" s="8">
        <f>EOMONTH(E77,12)</f>
        <v>45291</v>
      </c>
      <c r="G77" s="8">
        <f t="shared" ref="G77:K77" si="69">EOMONTH(F77,12)</f>
        <v>45657</v>
      </c>
      <c r="H77" s="8">
        <f t="shared" si="69"/>
        <v>46022</v>
      </c>
      <c r="I77" s="8">
        <f t="shared" si="69"/>
        <v>46387</v>
      </c>
      <c r="J77" s="8">
        <f t="shared" si="69"/>
        <v>46752</v>
      </c>
      <c r="K77" s="8">
        <f t="shared" si="69"/>
        <v>47118</v>
      </c>
    </row>
    <row r="78" spans="2:11" x14ac:dyDescent="0.2">
      <c r="B78" s="23"/>
      <c r="C78" s="22"/>
      <c r="D78" s="22"/>
      <c r="E78" s="22"/>
    </row>
    <row r="79" spans="2:11" x14ac:dyDescent="0.2">
      <c r="B79" s="24" t="s">
        <v>49</v>
      </c>
      <c r="C79" s="14">
        <v>2737486</v>
      </c>
      <c r="D79" s="14">
        <v>4616094</v>
      </c>
      <c r="E79" s="14">
        <v>6522345</v>
      </c>
      <c r="F79" s="18">
        <f>E79+F153</f>
        <v>8656901.1737840902</v>
      </c>
      <c r="G79" s="18">
        <f t="shared" ref="G79:K79" si="70">F79+G153</f>
        <v>10334090.875752272</v>
      </c>
      <c r="H79" s="18">
        <f t="shared" si="70"/>
        <v>12172978.541253045</v>
      </c>
      <c r="I79" s="18">
        <f t="shared" si="70"/>
        <v>14027174.3052288</v>
      </c>
      <c r="J79" s="18">
        <f t="shared" si="70"/>
        <v>16227159.529306425</v>
      </c>
      <c r="K79" s="18">
        <f t="shared" si="70"/>
        <v>19328561.532059047</v>
      </c>
    </row>
    <row r="80" spans="2:11" x14ac:dyDescent="0.2">
      <c r="B80" t="s">
        <v>61</v>
      </c>
      <c r="C80" s="14">
        <v>12238</v>
      </c>
      <c r="D80" s="14">
        <v>0</v>
      </c>
      <c r="E80" s="14">
        <v>0</v>
      </c>
      <c r="F80" s="33">
        <f>E80</f>
        <v>0</v>
      </c>
      <c r="G80" s="33">
        <f t="shared" ref="G80:J80" si="71">F80</f>
        <v>0</v>
      </c>
      <c r="H80" s="33">
        <f t="shared" si="71"/>
        <v>0</v>
      </c>
      <c r="I80" s="33">
        <f t="shared" si="71"/>
        <v>0</v>
      </c>
      <c r="J80" s="33">
        <f t="shared" si="71"/>
        <v>0</v>
      </c>
      <c r="K80" s="33">
        <f t="shared" ref="K80" si="72">J80</f>
        <v>0</v>
      </c>
    </row>
    <row r="81" spans="2:11" x14ac:dyDescent="0.2">
      <c r="B81" t="s">
        <v>50</v>
      </c>
      <c r="C81" s="14">
        <v>8794</v>
      </c>
      <c r="D81" s="14">
        <v>6761</v>
      </c>
      <c r="E81" s="14">
        <v>12445</v>
      </c>
      <c r="F81" s="33">
        <f>E81</f>
        <v>12445</v>
      </c>
      <c r="G81" s="33">
        <f t="shared" ref="G81:J81" si="73">F81</f>
        <v>12445</v>
      </c>
      <c r="H81" s="33">
        <f t="shared" si="73"/>
        <v>12445</v>
      </c>
      <c r="I81" s="33">
        <f t="shared" si="73"/>
        <v>12445</v>
      </c>
      <c r="J81" s="33">
        <f t="shared" si="73"/>
        <v>12445</v>
      </c>
      <c r="K81" s="33">
        <f t="shared" ref="K81" si="74">J81</f>
        <v>12445</v>
      </c>
    </row>
    <row r="82" spans="2:11" x14ac:dyDescent="0.2">
      <c r="B82" t="s">
        <v>51</v>
      </c>
      <c r="C82" s="14">
        <v>75079</v>
      </c>
      <c r="D82" s="14">
        <v>56852</v>
      </c>
      <c r="E82" s="14">
        <v>89350</v>
      </c>
      <c r="F82" s="18">
        <f>F18/F83</f>
        <v>78161.671590909085</v>
      </c>
      <c r="G82" s="18">
        <f t="shared" ref="G82:K82" si="75">G18/G83</f>
        <v>100523.99477272727</v>
      </c>
      <c r="H82" s="18">
        <f t="shared" si="75"/>
        <v>127988.2917954546</v>
      </c>
      <c r="I82" s="18">
        <f t="shared" si="75"/>
        <v>157007.73255000002</v>
      </c>
      <c r="J82" s="18">
        <f t="shared" si="75"/>
        <v>182196.30718237491</v>
      </c>
      <c r="K82" s="18">
        <f t="shared" si="75"/>
        <v>205978.05009302255</v>
      </c>
    </row>
    <row r="83" spans="2:11" x14ac:dyDescent="0.2">
      <c r="B83" s="25" t="s">
        <v>107</v>
      </c>
      <c r="C83" s="14"/>
      <c r="D83" s="28">
        <f>AVERAGE(C82:D82)*365/D18</f>
        <v>24.040937397967284</v>
      </c>
      <c r="E83" s="28">
        <f>AVERAGE(D82:E82)*365/E18</f>
        <v>20.059049020949264</v>
      </c>
      <c r="F83" s="35">
        <v>22</v>
      </c>
      <c r="G83" s="35">
        <v>22</v>
      </c>
      <c r="H83" s="35">
        <v>22</v>
      </c>
      <c r="I83" s="35">
        <v>22</v>
      </c>
      <c r="J83" s="35">
        <v>22</v>
      </c>
      <c r="K83" s="35">
        <v>22</v>
      </c>
    </row>
    <row r="84" spans="2:11" x14ac:dyDescent="0.2">
      <c r="B84" t="s">
        <v>52</v>
      </c>
      <c r="C84" s="14">
        <v>883939</v>
      </c>
      <c r="D84" s="14">
        <v>633249</v>
      </c>
      <c r="E84" s="14">
        <v>369104</v>
      </c>
      <c r="F84" s="18">
        <f>F59*F85</f>
        <v>719531.25</v>
      </c>
      <c r="G84" s="18">
        <f t="shared" ref="G84:K84" si="76">G59*G85</f>
        <v>819306.25</v>
      </c>
      <c r="H84" s="18">
        <f t="shared" si="76"/>
        <v>849737.62499999988</v>
      </c>
      <c r="I84" s="18">
        <f t="shared" si="76"/>
        <v>835575.33125000005</v>
      </c>
      <c r="J84" s="18">
        <f t="shared" si="76"/>
        <v>981801.01421875006</v>
      </c>
      <c r="K84" s="18">
        <f t="shared" si="76"/>
        <v>1109435.1460671874</v>
      </c>
    </row>
    <row r="85" spans="2:11" x14ac:dyDescent="0.2">
      <c r="B85" s="25" t="s">
        <v>108</v>
      </c>
      <c r="C85" s="27">
        <f>C84/C59</f>
        <v>2.9115250329380766E-3</v>
      </c>
      <c r="D85" s="27">
        <f t="shared" ref="D85:E85" si="77">D84/D59</f>
        <v>1.2272267441860464E-3</v>
      </c>
      <c r="E85" s="27">
        <f t="shared" si="77"/>
        <v>4.8091726384364819E-4</v>
      </c>
      <c r="F85" s="30">
        <v>7.5000000000000002E-4</v>
      </c>
      <c r="G85" s="30">
        <v>6.9999999999999999E-4</v>
      </c>
      <c r="H85" s="30">
        <v>5.9999999999999995E-4</v>
      </c>
      <c r="I85" s="30">
        <v>5.0000000000000001E-4</v>
      </c>
      <c r="J85" s="30">
        <v>5.0000000000000001E-4</v>
      </c>
      <c r="K85" s="30">
        <v>5.0000000000000001E-4</v>
      </c>
    </row>
    <row r="86" spans="2:11" x14ac:dyDescent="0.2">
      <c r="B86" t="s">
        <v>53</v>
      </c>
      <c r="C86" s="14">
        <v>19548</v>
      </c>
      <c r="D86" s="14">
        <v>22138</v>
      </c>
      <c r="E86" s="14">
        <v>87891</v>
      </c>
      <c r="F86" s="33">
        <v>100000</v>
      </c>
      <c r="G86" s="33">
        <v>100000</v>
      </c>
      <c r="H86" s="33">
        <v>100000</v>
      </c>
      <c r="I86" s="33">
        <v>100000</v>
      </c>
      <c r="J86" s="33">
        <v>100000</v>
      </c>
      <c r="K86" s="33">
        <v>100000</v>
      </c>
    </row>
    <row r="87" spans="2:11" x14ac:dyDescent="0.2">
      <c r="B87" t="s">
        <v>54</v>
      </c>
      <c r="C87" s="14">
        <v>35746</v>
      </c>
      <c r="D87" s="14">
        <v>72981</v>
      </c>
      <c r="E87" s="14">
        <v>140796</v>
      </c>
      <c r="F87" s="18">
        <f>E87-F143-F118</f>
        <v>159477.6</v>
      </c>
      <c r="G87" s="18">
        <f t="shared" ref="G87:K87" si="78">F87-G143-G118</f>
        <v>170686.56</v>
      </c>
      <c r="H87" s="18">
        <f t="shared" si="78"/>
        <v>177411.93599999999</v>
      </c>
      <c r="I87" s="18">
        <f t="shared" si="78"/>
        <v>181447.16159999999</v>
      </c>
      <c r="J87" s="18">
        <f t="shared" si="78"/>
        <v>183868.29696000001</v>
      </c>
      <c r="K87" s="18">
        <f t="shared" si="78"/>
        <v>185320.978176</v>
      </c>
    </row>
    <row r="88" spans="2:11" x14ac:dyDescent="0.2">
      <c r="B88" t="s">
        <v>58</v>
      </c>
      <c r="C88" s="14">
        <v>124328</v>
      </c>
      <c r="D88" s="14">
        <v>128063</v>
      </c>
      <c r="E88" s="14">
        <v>181676</v>
      </c>
      <c r="F88" s="33">
        <v>185000</v>
      </c>
      <c r="G88" s="33">
        <v>185000</v>
      </c>
      <c r="H88" s="33">
        <v>185000</v>
      </c>
      <c r="I88" s="33">
        <v>185000</v>
      </c>
      <c r="J88" s="33">
        <v>185000</v>
      </c>
      <c r="K88" s="33">
        <v>185000</v>
      </c>
    </row>
    <row r="89" spans="2:11" x14ac:dyDescent="0.2">
      <c r="B89" t="s">
        <v>55</v>
      </c>
      <c r="C89" s="14">
        <v>9970</v>
      </c>
      <c r="D89" s="14">
        <v>9841</v>
      </c>
      <c r="E89" s="14">
        <v>8140</v>
      </c>
      <c r="F89" s="33">
        <v>10000</v>
      </c>
      <c r="G89" s="33">
        <v>10000</v>
      </c>
      <c r="H89" s="33">
        <v>10000</v>
      </c>
      <c r="I89" s="33">
        <v>10000</v>
      </c>
      <c r="J89" s="33">
        <v>10000</v>
      </c>
      <c r="K89" s="33">
        <v>10000</v>
      </c>
    </row>
    <row r="90" spans="2:11" x14ac:dyDescent="0.2">
      <c r="B90" t="s">
        <v>59</v>
      </c>
      <c r="C90" s="14">
        <v>20883</v>
      </c>
      <c r="D90" s="14">
        <v>22504</v>
      </c>
      <c r="E90" s="14">
        <v>12264</v>
      </c>
      <c r="F90" s="33">
        <v>20000</v>
      </c>
      <c r="G90" s="33">
        <v>20000</v>
      </c>
      <c r="H90" s="33">
        <v>20000</v>
      </c>
      <c r="I90" s="33">
        <v>20000</v>
      </c>
      <c r="J90" s="33">
        <v>20000</v>
      </c>
      <c r="K90" s="33">
        <v>20000</v>
      </c>
    </row>
    <row r="91" spans="2:11" x14ac:dyDescent="0.2">
      <c r="B91" t="s">
        <v>56</v>
      </c>
      <c r="C91" s="14">
        <v>124113</v>
      </c>
      <c r="D91" s="14">
        <v>79341</v>
      </c>
      <c r="E91" s="14">
        <v>48612</v>
      </c>
      <c r="F91" s="33">
        <v>84000</v>
      </c>
      <c r="G91" s="33">
        <v>84000</v>
      </c>
      <c r="H91" s="33">
        <v>84000</v>
      </c>
      <c r="I91" s="33">
        <v>84000</v>
      </c>
      <c r="J91" s="33">
        <v>84000</v>
      </c>
      <c r="K91" s="33">
        <v>84000</v>
      </c>
    </row>
    <row r="92" spans="2:11" x14ac:dyDescent="0.2">
      <c r="B92" t="s">
        <v>57</v>
      </c>
      <c r="C92" s="14">
        <v>106337</v>
      </c>
      <c r="D92" s="14">
        <v>127782</v>
      </c>
      <c r="E92" s="14">
        <v>143727</v>
      </c>
      <c r="F92" s="33">
        <v>126000</v>
      </c>
      <c r="G92" s="33">
        <v>126000</v>
      </c>
      <c r="H92" s="33">
        <v>126000</v>
      </c>
      <c r="I92" s="33">
        <v>126000</v>
      </c>
      <c r="J92" s="33">
        <v>126000</v>
      </c>
      <c r="K92" s="33">
        <v>126000</v>
      </c>
    </row>
    <row r="93" spans="2:11" x14ac:dyDescent="0.2">
      <c r="B93" s="9" t="s">
        <v>60</v>
      </c>
      <c r="C93" s="19">
        <f>SUM(C79:C92)</f>
        <v>4158461.0029115248</v>
      </c>
      <c r="D93" s="19">
        <f>SUM(D79:D92)</f>
        <v>5775630.0421646247</v>
      </c>
      <c r="E93" s="19">
        <f>SUM(E79:E92)</f>
        <v>7616370.0595299378</v>
      </c>
      <c r="F93" s="19">
        <f t="shared" ref="F93:K93" si="79">SUM(F79:F92)</f>
        <v>10151538.696124999</v>
      </c>
      <c r="G93" s="19">
        <f t="shared" si="79"/>
        <v>11962074.681225</v>
      </c>
      <c r="H93" s="19">
        <f t="shared" si="79"/>
        <v>13865583.394648502</v>
      </c>
      <c r="I93" s="19">
        <f t="shared" si="79"/>
        <v>15738671.5311288</v>
      </c>
      <c r="J93" s="19">
        <f t="shared" si="79"/>
        <v>18112492.148167551</v>
      </c>
      <c r="K93" s="19">
        <f t="shared" si="79"/>
        <v>21366762.706895258</v>
      </c>
    </row>
    <row r="95" spans="2:11" x14ac:dyDescent="0.2">
      <c r="B95" t="s">
        <v>62</v>
      </c>
      <c r="C95" s="14">
        <v>68400</v>
      </c>
      <c r="D95" s="14">
        <v>81700</v>
      </c>
      <c r="E95" s="14">
        <v>35000</v>
      </c>
      <c r="F95" s="33">
        <v>62000</v>
      </c>
      <c r="G95" s="33">
        <v>62000</v>
      </c>
      <c r="H95" s="33">
        <v>62000</v>
      </c>
      <c r="I95" s="33">
        <v>62000</v>
      </c>
      <c r="J95" s="33">
        <v>62000</v>
      </c>
      <c r="K95" s="33">
        <v>62000</v>
      </c>
    </row>
    <row r="96" spans="2:11" x14ac:dyDescent="0.2">
      <c r="B96" t="s">
        <v>63</v>
      </c>
      <c r="C96" s="14">
        <v>23924</v>
      </c>
      <c r="D96" s="14">
        <v>16401</v>
      </c>
      <c r="E96" s="14">
        <v>11345</v>
      </c>
      <c r="F96" s="33">
        <v>17500</v>
      </c>
      <c r="G96" s="33">
        <v>17500</v>
      </c>
      <c r="H96" s="33">
        <v>17500</v>
      </c>
      <c r="I96" s="33">
        <v>17500</v>
      </c>
      <c r="J96" s="33">
        <v>17500</v>
      </c>
      <c r="K96" s="33">
        <v>17500</v>
      </c>
    </row>
    <row r="97" spans="2:11" x14ac:dyDescent="0.2">
      <c r="B97" t="s">
        <v>64</v>
      </c>
      <c r="C97" s="14">
        <v>118051</v>
      </c>
      <c r="D97" s="14">
        <v>119968</v>
      </c>
      <c r="E97" s="14">
        <v>169873</v>
      </c>
      <c r="F97" s="18">
        <f t="shared" ref="F97:K97" si="80">E97+F148</f>
        <v>159873</v>
      </c>
      <c r="G97" s="18">
        <f t="shared" si="80"/>
        <v>149873</v>
      </c>
      <c r="H97" s="18">
        <f t="shared" si="80"/>
        <v>139873</v>
      </c>
      <c r="I97" s="18">
        <f t="shared" si="80"/>
        <v>129873</v>
      </c>
      <c r="J97" s="18">
        <f t="shared" si="80"/>
        <v>119873</v>
      </c>
      <c r="K97" s="18">
        <f t="shared" si="80"/>
        <v>109873</v>
      </c>
    </row>
    <row r="98" spans="2:11" x14ac:dyDescent="0.2">
      <c r="B98" t="s">
        <v>65</v>
      </c>
      <c r="C98" s="14">
        <v>0</v>
      </c>
      <c r="D98" s="14">
        <v>5601</v>
      </c>
      <c r="E98" s="14">
        <v>6742</v>
      </c>
      <c r="F98" s="33">
        <v>7500</v>
      </c>
      <c r="G98" s="33">
        <v>7500</v>
      </c>
      <c r="H98" s="33">
        <v>8500</v>
      </c>
      <c r="I98" s="33">
        <v>8500</v>
      </c>
      <c r="J98" s="33">
        <v>9500</v>
      </c>
      <c r="K98" s="33">
        <v>9500</v>
      </c>
    </row>
    <row r="99" spans="2:11" x14ac:dyDescent="0.2">
      <c r="B99" t="s">
        <v>66</v>
      </c>
      <c r="C99" s="14">
        <v>2588863</v>
      </c>
      <c r="D99" s="14">
        <v>3608531</v>
      </c>
      <c r="E99" s="14">
        <v>4795804</v>
      </c>
      <c r="F99" s="18">
        <f>F100*F59</f>
        <v>5756250</v>
      </c>
      <c r="G99" s="18">
        <f t="shared" ref="G99:K99" si="81">G100*G59</f>
        <v>6437406.25</v>
      </c>
      <c r="H99" s="18">
        <f t="shared" si="81"/>
        <v>7081146.875</v>
      </c>
      <c r="I99" s="18">
        <f t="shared" si="81"/>
        <v>7520177.9812499993</v>
      </c>
      <c r="J99" s="18">
        <f t="shared" si="81"/>
        <v>7854408.1137500005</v>
      </c>
      <c r="K99" s="18">
        <f t="shared" si="81"/>
        <v>8875481.1685374994</v>
      </c>
    </row>
    <row r="100" spans="2:11" x14ac:dyDescent="0.2">
      <c r="B100" s="25" t="s">
        <v>108</v>
      </c>
      <c r="C100" s="27">
        <f>C99/C59</f>
        <v>8.5272167325428187E-3</v>
      </c>
      <c r="D100" s="27">
        <f t="shared" ref="D100:E100" si="82">D99/D59</f>
        <v>6.9932771317829457E-3</v>
      </c>
      <c r="E100" s="27">
        <f t="shared" si="82"/>
        <v>6.2486045602605867E-3</v>
      </c>
      <c r="F100" s="30">
        <v>6.0000000000000001E-3</v>
      </c>
      <c r="G100" s="30">
        <v>5.4999999999999997E-3</v>
      </c>
      <c r="H100" s="30">
        <v>5.0000000000000001E-3</v>
      </c>
      <c r="I100" s="30">
        <v>4.4999999999999997E-3</v>
      </c>
      <c r="J100" s="30">
        <v>4.0000000000000001E-3</v>
      </c>
      <c r="K100" s="30">
        <v>4.0000000000000001E-3</v>
      </c>
    </row>
    <row r="101" spans="2:11" x14ac:dyDescent="0.2">
      <c r="B101" t="s">
        <v>67</v>
      </c>
      <c r="C101" s="14">
        <v>111547</v>
      </c>
      <c r="D101" s="14">
        <v>100116</v>
      </c>
      <c r="E101" s="14">
        <v>147827</v>
      </c>
      <c r="F101" s="18">
        <f>-F102*F16</f>
        <v>233535.859375</v>
      </c>
      <c r="G101" s="18">
        <f t="shared" ref="G101:K101" si="83">-G102*G16</f>
        <v>281782.828125</v>
      </c>
      <c r="H101" s="18">
        <f t="shared" si="83"/>
        <v>340319.91881250002</v>
      </c>
      <c r="I101" s="18">
        <f t="shared" si="83"/>
        <v>397065.39741000003</v>
      </c>
      <c r="J101" s="18">
        <f t="shared" si="83"/>
        <v>470871.76641931257</v>
      </c>
      <c r="K101" s="18">
        <f t="shared" si="83"/>
        <v>536966.61069651868</v>
      </c>
    </row>
    <row r="102" spans="2:11" x14ac:dyDescent="0.2">
      <c r="B102" s="25" t="s">
        <v>109</v>
      </c>
      <c r="C102" s="27">
        <f>-C101/C16</f>
        <v>3.8003435562087802E-2</v>
      </c>
      <c r="D102" s="27">
        <f t="shared" ref="D102:E102" si="84">-D101/D16</f>
        <v>2.018080807490338E-2</v>
      </c>
      <c r="E102" s="27">
        <f t="shared" si="84"/>
        <v>1.9577245807155648E-2</v>
      </c>
      <c r="F102" s="30">
        <v>2.5000000000000001E-2</v>
      </c>
      <c r="G102" s="30">
        <v>2.5000000000000001E-2</v>
      </c>
      <c r="H102" s="30">
        <v>2.5000000000000001E-2</v>
      </c>
      <c r="I102" s="30">
        <v>2.5000000000000001E-2</v>
      </c>
      <c r="J102" s="30">
        <v>2.5000000000000001E-2</v>
      </c>
      <c r="K102" s="30">
        <v>2.5000000000000001E-2</v>
      </c>
    </row>
    <row r="103" spans="2:11" x14ac:dyDescent="0.2">
      <c r="B103" t="s">
        <v>68</v>
      </c>
      <c r="C103" s="14">
        <v>13434</v>
      </c>
      <c r="D103" s="14">
        <v>22996</v>
      </c>
      <c r="E103" s="14">
        <v>33200</v>
      </c>
      <c r="F103" s="33">
        <v>40000</v>
      </c>
      <c r="G103" s="33">
        <v>40000</v>
      </c>
      <c r="H103" s="33">
        <v>40000</v>
      </c>
      <c r="I103" s="33">
        <v>40000</v>
      </c>
      <c r="J103" s="33">
        <v>40000</v>
      </c>
      <c r="K103" s="33">
        <v>40000</v>
      </c>
    </row>
    <row r="104" spans="2:11" x14ac:dyDescent="0.2">
      <c r="B104" t="s">
        <v>69</v>
      </c>
      <c r="C104" s="14">
        <v>16108</v>
      </c>
      <c r="D104" s="14">
        <v>9879</v>
      </c>
      <c r="E104" s="14">
        <v>4441</v>
      </c>
      <c r="F104" s="33">
        <v>10000</v>
      </c>
      <c r="G104" s="33">
        <v>10000</v>
      </c>
      <c r="H104" s="33">
        <v>10000</v>
      </c>
      <c r="I104" s="33">
        <v>10000</v>
      </c>
      <c r="J104" s="33">
        <v>10000</v>
      </c>
      <c r="K104" s="33">
        <v>10000</v>
      </c>
    </row>
    <row r="105" spans="2:11" s="9" customFormat="1" x14ac:dyDescent="0.2">
      <c r="B105" s="9" t="s">
        <v>70</v>
      </c>
      <c r="C105" s="19">
        <f>SUM(C95:C104)</f>
        <v>2940327.0465306519</v>
      </c>
      <c r="D105" s="19">
        <f>SUM(D95:D104)</f>
        <v>3965192.0271740849</v>
      </c>
      <c r="E105" s="19">
        <f>SUM(E95:E104)</f>
        <v>5204232.0258258507</v>
      </c>
      <c r="F105" s="19">
        <f t="shared" ref="F105:K105" si="85">SUM(F95:F104)</f>
        <v>6286658.8903750004</v>
      </c>
      <c r="G105" s="19">
        <f t="shared" si="85"/>
        <v>7006062.1086250003</v>
      </c>
      <c r="H105" s="19">
        <f t="shared" si="85"/>
        <v>7699339.8238125006</v>
      </c>
      <c r="I105" s="19">
        <f t="shared" si="85"/>
        <v>8185116.4081599992</v>
      </c>
      <c r="J105" s="19">
        <f t="shared" si="85"/>
        <v>8584152.9091693126</v>
      </c>
      <c r="K105" s="19">
        <f t="shared" si="85"/>
        <v>9661320.8082340192</v>
      </c>
    </row>
    <row r="107" spans="2:11" s="9" customFormat="1" x14ac:dyDescent="0.2">
      <c r="B107" s="9" t="s">
        <v>71</v>
      </c>
      <c r="C107" s="36">
        <v>1218134</v>
      </c>
      <c r="D107" s="36">
        <v>1810414</v>
      </c>
      <c r="E107" s="36">
        <v>2412118</v>
      </c>
      <c r="F107" s="19">
        <f>F93-F105</f>
        <v>3864879.8057499984</v>
      </c>
      <c r="G107" s="19">
        <f t="shared" ref="G107:J107" si="86">G93-G105</f>
        <v>4956012.5725999996</v>
      </c>
      <c r="H107" s="19">
        <f t="shared" si="86"/>
        <v>6166243.5708360011</v>
      </c>
      <c r="I107" s="19">
        <f t="shared" si="86"/>
        <v>7553555.1229688004</v>
      </c>
      <c r="J107" s="19">
        <f t="shared" si="86"/>
        <v>9528339.238998238</v>
      </c>
      <c r="K107" s="19">
        <f t="shared" ref="K107" si="87">K93-K105</f>
        <v>11705441.898661239</v>
      </c>
    </row>
    <row r="109" spans="2:11" s="9" customFormat="1" x14ac:dyDescent="0.2">
      <c r="B109" s="9" t="s">
        <v>72</v>
      </c>
      <c r="C109" s="19">
        <f>C105+C107</f>
        <v>4158461.0465306519</v>
      </c>
      <c r="D109" s="19">
        <f>D105+D107</f>
        <v>5775606.0271740854</v>
      </c>
      <c r="E109" s="19">
        <f>E107+E105</f>
        <v>7616350.0258258507</v>
      </c>
      <c r="F109" s="19">
        <f t="shared" ref="F109:J109" si="88">F107+F105</f>
        <v>10151538.696124999</v>
      </c>
      <c r="G109" s="19">
        <f t="shared" si="88"/>
        <v>11962074.681225</v>
      </c>
      <c r="H109" s="19">
        <f t="shared" si="88"/>
        <v>13865583.394648502</v>
      </c>
      <c r="I109" s="19">
        <f t="shared" si="88"/>
        <v>15738671.5311288</v>
      </c>
      <c r="J109" s="19">
        <f t="shared" si="88"/>
        <v>18112492.148167551</v>
      </c>
      <c r="K109" s="19">
        <f t="shared" ref="K109" si="89">K107+K105</f>
        <v>21366762.706895258</v>
      </c>
    </row>
    <row r="112" spans="2:11" ht="17" thickBot="1" x14ac:dyDescent="0.25">
      <c r="B112" s="5" t="s">
        <v>73</v>
      </c>
      <c r="C112" s="4"/>
      <c r="D112" s="4"/>
      <c r="E112" s="4"/>
      <c r="F112" s="4"/>
      <c r="G112" s="4"/>
      <c r="H112" s="4"/>
      <c r="I112" s="4"/>
      <c r="J112" s="4"/>
      <c r="K112" s="4"/>
    </row>
    <row r="113" spans="2:11" x14ac:dyDescent="0.2">
      <c r="B113" t="s">
        <v>9</v>
      </c>
      <c r="C113" s="6">
        <f>D113-1</f>
        <v>2020</v>
      </c>
      <c r="D113" s="6">
        <f>E113-1</f>
        <v>2021</v>
      </c>
      <c r="E113" s="6">
        <v>2022</v>
      </c>
      <c r="F113" s="7">
        <f>E113+1</f>
        <v>2023</v>
      </c>
      <c r="G113" s="7">
        <f t="shared" ref="G113:K113" si="90">F113+1</f>
        <v>2024</v>
      </c>
      <c r="H113" s="7">
        <f t="shared" si="90"/>
        <v>2025</v>
      </c>
      <c r="I113" s="7">
        <f t="shared" si="90"/>
        <v>2026</v>
      </c>
      <c r="J113" s="7">
        <f t="shared" si="90"/>
        <v>2027</v>
      </c>
      <c r="K113" s="7">
        <f t="shared" si="90"/>
        <v>2028</v>
      </c>
    </row>
    <row r="114" spans="2:11" ht="17" thickBot="1" x14ac:dyDescent="0.25">
      <c r="B114" s="4" t="s">
        <v>10</v>
      </c>
      <c r="C114" s="13">
        <v>44196</v>
      </c>
      <c r="D114" s="13">
        <v>44561</v>
      </c>
      <c r="E114" s="13">
        <v>44926</v>
      </c>
      <c r="F114" s="8">
        <f>EOMONTH(E114,12)</f>
        <v>45291</v>
      </c>
      <c r="G114" s="8">
        <f t="shared" ref="G114:K114" si="91">EOMONTH(F114,12)</f>
        <v>45657</v>
      </c>
      <c r="H114" s="8">
        <f t="shared" si="91"/>
        <v>46022</v>
      </c>
      <c r="I114" s="8">
        <f t="shared" si="91"/>
        <v>46387</v>
      </c>
      <c r="J114" s="8">
        <f t="shared" si="91"/>
        <v>46752</v>
      </c>
      <c r="K114" s="8">
        <f t="shared" si="91"/>
        <v>47118</v>
      </c>
    </row>
    <row r="116" spans="2:11" x14ac:dyDescent="0.2">
      <c r="B116" t="s">
        <v>24</v>
      </c>
      <c r="C116" s="18">
        <f t="shared" ref="C116:K116" si="92">C40</f>
        <v>323180</v>
      </c>
      <c r="D116" s="18">
        <f t="shared" si="92"/>
        <v>580847</v>
      </c>
      <c r="E116" s="18">
        <f t="shared" si="92"/>
        <v>719939</v>
      </c>
      <c r="F116" s="18">
        <f t="shared" si="92"/>
        <v>817832.66999999981</v>
      </c>
      <c r="G116" s="18">
        <f t="shared" si="92"/>
        <v>1001352.2079999999</v>
      </c>
      <c r="H116" s="18">
        <f t="shared" si="92"/>
        <v>1324834.0597950008</v>
      </c>
      <c r="I116" s="18">
        <f t="shared" si="92"/>
        <v>1655481.4240409997</v>
      </c>
      <c r="J116" s="18">
        <f t="shared" si="92"/>
        <v>1990102.1869899207</v>
      </c>
      <c r="K116" s="18">
        <f t="shared" si="92"/>
        <v>2288229.2449576613</v>
      </c>
    </row>
    <row r="117" spans="2:11" x14ac:dyDescent="0.2">
      <c r="B117" t="s">
        <v>23</v>
      </c>
      <c r="C117" s="18">
        <f t="shared" ref="C117:K117" si="93">-C39</f>
        <v>50733</v>
      </c>
      <c r="D117" s="18">
        <f t="shared" si="93"/>
        <v>14134</v>
      </c>
      <c r="E117" s="18">
        <f t="shared" si="93"/>
        <v>-55264</v>
      </c>
      <c r="F117" s="18">
        <f>-F39</f>
        <v>0</v>
      </c>
      <c r="G117" s="18">
        <f t="shared" si="93"/>
        <v>0</v>
      </c>
      <c r="H117" s="18">
        <f t="shared" si="93"/>
        <v>0</v>
      </c>
      <c r="I117" s="18">
        <f t="shared" si="93"/>
        <v>0</v>
      </c>
      <c r="J117" s="18">
        <f t="shared" si="93"/>
        <v>0</v>
      </c>
      <c r="K117" s="18">
        <f t="shared" si="93"/>
        <v>0</v>
      </c>
    </row>
    <row r="118" spans="2:11" x14ac:dyDescent="0.2">
      <c r="B118" t="s">
        <v>74</v>
      </c>
      <c r="C118" s="14">
        <v>11230</v>
      </c>
      <c r="D118" s="14">
        <v>15315</v>
      </c>
      <c r="E118" s="14">
        <v>28354</v>
      </c>
      <c r="F118" s="18">
        <f>F119*E87</f>
        <v>56318.400000000001</v>
      </c>
      <c r="G118" s="18">
        <f t="shared" ref="G118:K118" si="94">G119*F87</f>
        <v>63791.040000000008</v>
      </c>
      <c r="H118" s="18">
        <f t="shared" si="94"/>
        <v>68274.623999999996</v>
      </c>
      <c r="I118" s="18">
        <f t="shared" si="94"/>
        <v>70964.774399999995</v>
      </c>
      <c r="J118" s="18">
        <f t="shared" si="94"/>
        <v>72578.86464</v>
      </c>
      <c r="K118" s="18">
        <f t="shared" si="94"/>
        <v>73547.318784000003</v>
      </c>
    </row>
    <row r="119" spans="2:11" x14ac:dyDescent="0.2">
      <c r="B119" s="25" t="s">
        <v>103</v>
      </c>
      <c r="C119" s="14"/>
      <c r="D119" s="27">
        <f>D118/C87</f>
        <v>0.42843954568343312</v>
      </c>
      <c r="E119" s="27">
        <f>E118/D87</f>
        <v>0.38851207848618136</v>
      </c>
      <c r="F119" s="30">
        <v>0.4</v>
      </c>
      <c r="G119" s="30">
        <v>0.4</v>
      </c>
      <c r="H119" s="30">
        <v>0.4</v>
      </c>
      <c r="I119" s="30">
        <v>0.4</v>
      </c>
      <c r="J119" s="30">
        <v>0.4</v>
      </c>
      <c r="K119" s="30">
        <v>0.4</v>
      </c>
    </row>
    <row r="120" spans="2:11" x14ac:dyDescent="0.2">
      <c r="B120" t="s">
        <v>75</v>
      </c>
      <c r="C120" s="14">
        <v>2465</v>
      </c>
      <c r="D120" s="14">
        <v>3088</v>
      </c>
      <c r="E120" s="14">
        <v>5224</v>
      </c>
      <c r="F120" s="18">
        <f t="shared" ref="F120:K120" si="95">E89*F121</f>
        <v>3256</v>
      </c>
      <c r="G120" s="18">
        <f t="shared" si="95"/>
        <v>4000</v>
      </c>
      <c r="H120" s="18">
        <f t="shared" si="95"/>
        <v>4000</v>
      </c>
      <c r="I120" s="18">
        <f t="shared" si="95"/>
        <v>4000</v>
      </c>
      <c r="J120" s="18">
        <f t="shared" si="95"/>
        <v>4000</v>
      </c>
      <c r="K120" s="18">
        <f t="shared" si="95"/>
        <v>4000</v>
      </c>
    </row>
    <row r="121" spans="2:11" x14ac:dyDescent="0.2">
      <c r="B121" s="25" t="s">
        <v>104</v>
      </c>
      <c r="C121" s="14"/>
      <c r="D121" s="27">
        <f>D120/C89</f>
        <v>0.30972918756268808</v>
      </c>
      <c r="E121" s="27">
        <f>E120/D89</f>
        <v>0.53084036175185445</v>
      </c>
      <c r="F121" s="30">
        <v>0.4</v>
      </c>
      <c r="G121" s="30">
        <v>0.4</v>
      </c>
      <c r="H121" s="30">
        <v>0.4</v>
      </c>
      <c r="I121" s="30">
        <v>0.4</v>
      </c>
      <c r="J121" s="30">
        <v>0.4</v>
      </c>
      <c r="K121" s="30">
        <v>0.4</v>
      </c>
    </row>
    <row r="122" spans="2:11" x14ac:dyDescent="0.2">
      <c r="B122" t="s">
        <v>76</v>
      </c>
      <c r="C122" s="14">
        <v>14872</v>
      </c>
      <c r="D122" s="14">
        <v>16608</v>
      </c>
      <c r="E122" s="14">
        <v>30035</v>
      </c>
      <c r="F122" s="18">
        <f t="shared" ref="F122:K122" si="96">F123*E88</f>
        <v>36335.200000000004</v>
      </c>
      <c r="G122" s="18">
        <f t="shared" si="96"/>
        <v>37000</v>
      </c>
      <c r="H122" s="18">
        <f t="shared" si="96"/>
        <v>37000</v>
      </c>
      <c r="I122" s="18">
        <f t="shared" si="96"/>
        <v>37000</v>
      </c>
      <c r="J122" s="18">
        <f t="shared" si="96"/>
        <v>37000</v>
      </c>
      <c r="K122" s="18">
        <f t="shared" si="96"/>
        <v>37000</v>
      </c>
    </row>
    <row r="123" spans="2:11" x14ac:dyDescent="0.2">
      <c r="B123" s="25" t="s">
        <v>105</v>
      </c>
      <c r="C123" s="14"/>
      <c r="D123" s="27">
        <f>D122/C88</f>
        <v>0.13358213757158485</v>
      </c>
      <c r="E123" s="27">
        <f>E122/D88</f>
        <v>0.23453300328744447</v>
      </c>
      <c r="F123" s="30">
        <v>0.2</v>
      </c>
      <c r="G123" s="30">
        <v>0.2</v>
      </c>
      <c r="H123" s="30">
        <v>0.2</v>
      </c>
      <c r="I123" s="30">
        <v>0.2</v>
      </c>
      <c r="J123" s="30">
        <v>0.2</v>
      </c>
      <c r="K123" s="30">
        <v>0.2</v>
      </c>
    </row>
    <row r="124" spans="2:11" x14ac:dyDescent="0.2">
      <c r="B124" t="s">
        <v>77</v>
      </c>
      <c r="C124" s="14">
        <v>922</v>
      </c>
      <c r="D124" s="14">
        <v>292</v>
      </c>
      <c r="E124" s="14">
        <v>9</v>
      </c>
      <c r="F124" s="33">
        <v>500</v>
      </c>
      <c r="G124" s="33">
        <v>500</v>
      </c>
      <c r="H124" s="33">
        <v>500</v>
      </c>
      <c r="I124" s="33">
        <v>750</v>
      </c>
      <c r="J124" s="33">
        <v>750</v>
      </c>
      <c r="K124" s="33">
        <v>750</v>
      </c>
    </row>
    <row r="125" spans="2:11" x14ac:dyDescent="0.2">
      <c r="B125" t="s">
        <v>78</v>
      </c>
      <c r="C125" s="14">
        <v>0</v>
      </c>
      <c r="D125" s="14">
        <v>5601</v>
      </c>
      <c r="E125" s="14">
        <v>1141</v>
      </c>
      <c r="F125" s="33">
        <v>2000</v>
      </c>
      <c r="G125" s="33">
        <v>2000</v>
      </c>
      <c r="H125" s="33">
        <v>2000</v>
      </c>
      <c r="I125" s="33">
        <v>2500</v>
      </c>
      <c r="J125" s="33">
        <v>2500</v>
      </c>
      <c r="K125" s="33">
        <v>2500</v>
      </c>
    </row>
    <row r="126" spans="2:11" x14ac:dyDescent="0.2">
      <c r="B126" t="s">
        <v>53</v>
      </c>
      <c r="C126" s="14">
        <v>-12528</v>
      </c>
      <c r="D126" s="14">
        <v>-3851</v>
      </c>
      <c r="E126" s="14">
        <v>-65753</v>
      </c>
      <c r="F126" s="18">
        <f>F86-E86</f>
        <v>12109</v>
      </c>
      <c r="G126" s="18">
        <f t="shared" ref="G126:K126" si="97">G86-F86</f>
        <v>0</v>
      </c>
      <c r="H126" s="18">
        <f t="shared" si="97"/>
        <v>0</v>
      </c>
      <c r="I126" s="18">
        <f t="shared" si="97"/>
        <v>0</v>
      </c>
      <c r="J126" s="18">
        <f t="shared" si="97"/>
        <v>0</v>
      </c>
      <c r="K126" s="18">
        <f t="shared" si="97"/>
        <v>0</v>
      </c>
    </row>
    <row r="127" spans="2:11" x14ac:dyDescent="0.2">
      <c r="B127" t="s">
        <v>51</v>
      </c>
      <c r="C127" s="14">
        <v>-15213</v>
      </c>
      <c r="D127" s="14">
        <v>19780</v>
      </c>
      <c r="E127" s="14">
        <v>-32650</v>
      </c>
      <c r="F127" s="18">
        <f>E82-F82</f>
        <v>11188.328409090915</v>
      </c>
      <c r="G127" s="18">
        <f t="shared" ref="G127:K127" si="98">F82-G82</f>
        <v>-22362.323181818181</v>
      </c>
      <c r="H127" s="18">
        <f t="shared" si="98"/>
        <v>-27464.297022727333</v>
      </c>
      <c r="I127" s="18">
        <f t="shared" si="98"/>
        <v>-29019.440754545416</v>
      </c>
      <c r="J127" s="18">
        <f t="shared" si="98"/>
        <v>-25188.57463237489</v>
      </c>
      <c r="K127" s="18">
        <f t="shared" si="98"/>
        <v>-23781.742910647648</v>
      </c>
    </row>
    <row r="128" spans="2:11" x14ac:dyDescent="0.2">
      <c r="B128" t="s">
        <v>52</v>
      </c>
      <c r="C128" s="14">
        <v>-440606</v>
      </c>
      <c r="D128" s="14">
        <v>250690</v>
      </c>
      <c r="E128" s="14">
        <v>264145</v>
      </c>
      <c r="F128" s="18">
        <f t="shared" ref="F128:K128" si="99">F84-E84</f>
        <v>350427.25</v>
      </c>
      <c r="G128" s="18">
        <f t="shared" si="99"/>
        <v>99775</v>
      </c>
      <c r="H128" s="18">
        <f t="shared" si="99"/>
        <v>30431.374999999884</v>
      </c>
      <c r="I128" s="18">
        <f t="shared" si="99"/>
        <v>-14162.293749999837</v>
      </c>
      <c r="J128" s="18">
        <f t="shared" si="99"/>
        <v>146225.68296875001</v>
      </c>
      <c r="K128" s="18">
        <f t="shared" si="99"/>
        <v>127634.13184843736</v>
      </c>
    </row>
    <row r="129" spans="2:11" x14ac:dyDescent="0.2">
      <c r="B129" t="s">
        <v>66</v>
      </c>
      <c r="C129" s="14">
        <v>1129637</v>
      </c>
      <c r="D129" s="14">
        <v>1019668</v>
      </c>
      <c r="E129" s="14">
        <v>1187273</v>
      </c>
      <c r="F129" s="18">
        <f t="shared" ref="F129:K129" si="100">F99-E99</f>
        <v>960446</v>
      </c>
      <c r="G129" s="18">
        <f t="shared" si="100"/>
        <v>681156.25</v>
      </c>
      <c r="H129" s="18">
        <f t="shared" si="100"/>
        <v>643740.625</v>
      </c>
      <c r="I129" s="18">
        <f t="shared" si="100"/>
        <v>439031.10624999925</v>
      </c>
      <c r="J129" s="18">
        <f t="shared" si="100"/>
        <v>334230.13250000123</v>
      </c>
      <c r="K129" s="18">
        <f t="shared" si="100"/>
        <v>1021073.0547874989</v>
      </c>
    </row>
    <row r="130" spans="2:11" s="9" customFormat="1" x14ac:dyDescent="0.2">
      <c r="B130" t="s">
        <v>67</v>
      </c>
      <c r="C130" s="14">
        <v>21351</v>
      </c>
      <c r="D130" s="14">
        <v>-11048</v>
      </c>
      <c r="E130" s="14">
        <v>40155</v>
      </c>
      <c r="F130" s="18">
        <f t="shared" ref="F130:K130" si="101">F101-E101</f>
        <v>85708.859375</v>
      </c>
      <c r="G130" s="18">
        <f t="shared" si="101"/>
        <v>48246.96875</v>
      </c>
      <c r="H130" s="18">
        <f t="shared" si="101"/>
        <v>58537.090687500022</v>
      </c>
      <c r="I130" s="18">
        <f t="shared" si="101"/>
        <v>56745.478597500012</v>
      </c>
      <c r="J130" s="18">
        <f t="shared" si="101"/>
        <v>73806.369009312533</v>
      </c>
      <c r="K130" s="18">
        <f t="shared" si="101"/>
        <v>66094.84427720611</v>
      </c>
    </row>
    <row r="131" spans="2:11" x14ac:dyDescent="0.2">
      <c r="B131" t="s">
        <v>79</v>
      </c>
      <c r="C131" s="14">
        <v>10641</v>
      </c>
      <c r="D131" s="14">
        <v>48198</v>
      </c>
      <c r="E131" s="14">
        <v>30763</v>
      </c>
      <c r="F131" s="33">
        <v>50000</v>
      </c>
      <c r="G131" s="33">
        <v>50000</v>
      </c>
      <c r="H131" s="33">
        <v>50000</v>
      </c>
      <c r="I131" s="33">
        <v>50000</v>
      </c>
      <c r="J131" s="33">
        <v>50000</v>
      </c>
      <c r="K131" s="33">
        <v>50000</v>
      </c>
    </row>
    <row r="132" spans="2:11" x14ac:dyDescent="0.2">
      <c r="B132" s="9" t="s">
        <v>83</v>
      </c>
      <c r="C132" s="19">
        <f>SUM(C116:C131)</f>
        <v>1096684</v>
      </c>
      <c r="D132" s="19">
        <f>SUM(D116:D131)</f>
        <v>1959322.8717508707</v>
      </c>
      <c r="E132" s="19">
        <f>SUM(E116:E131)</f>
        <v>2153372.1538854437</v>
      </c>
      <c r="F132" s="19">
        <f t="shared" ref="F132:K132" si="102">SUM(F116:F131)</f>
        <v>2386122.7077840907</v>
      </c>
      <c r="G132" s="19">
        <f t="shared" si="102"/>
        <v>1965460.1435681814</v>
      </c>
      <c r="H132" s="19">
        <f t="shared" si="102"/>
        <v>2191854.477459773</v>
      </c>
      <c r="I132" s="19">
        <f t="shared" si="102"/>
        <v>2273292.0487839533</v>
      </c>
      <c r="J132" s="19">
        <f t="shared" si="102"/>
        <v>2686005.6614756095</v>
      </c>
      <c r="K132" s="19">
        <f t="shared" si="102"/>
        <v>3647047.8517441554</v>
      </c>
    </row>
    <row r="134" spans="2:11" x14ac:dyDescent="0.2">
      <c r="B134" t="s">
        <v>80</v>
      </c>
      <c r="C134" s="18">
        <f t="shared" ref="C134:J135" si="103">C36</f>
        <v>1334</v>
      </c>
      <c r="D134" s="18">
        <f t="shared" si="103"/>
        <v>1039</v>
      </c>
      <c r="E134" s="18">
        <f t="shared" si="103"/>
        <v>29323</v>
      </c>
      <c r="F134" s="18">
        <f t="shared" si="103"/>
        <v>0</v>
      </c>
      <c r="G134" s="18">
        <f t="shared" si="103"/>
        <v>0</v>
      </c>
      <c r="H134" s="18">
        <f t="shared" si="103"/>
        <v>0</v>
      </c>
      <c r="I134" s="18">
        <f t="shared" si="103"/>
        <v>0</v>
      </c>
      <c r="J134" s="18">
        <f t="shared" si="103"/>
        <v>0</v>
      </c>
      <c r="K134" s="18">
        <f t="shared" ref="K134" si="104">K36</f>
        <v>0</v>
      </c>
    </row>
    <row r="135" spans="2:11" x14ac:dyDescent="0.2">
      <c r="B135" t="s">
        <v>81</v>
      </c>
      <c r="C135" s="18">
        <f t="shared" si="103"/>
        <v>-9406</v>
      </c>
      <c r="D135" s="18">
        <f t="shared" si="103"/>
        <v>-12788</v>
      </c>
      <c r="E135" s="18">
        <f t="shared" si="103"/>
        <v>-11963</v>
      </c>
      <c r="F135" s="18">
        <f t="shared" si="103"/>
        <v>0</v>
      </c>
      <c r="G135" s="18">
        <f t="shared" si="103"/>
        <v>0</v>
      </c>
      <c r="H135" s="18">
        <f t="shared" si="103"/>
        <v>0</v>
      </c>
      <c r="I135" s="18">
        <f t="shared" si="103"/>
        <v>0</v>
      </c>
      <c r="J135" s="18">
        <f t="shared" si="103"/>
        <v>0</v>
      </c>
      <c r="K135" s="18">
        <f t="shared" ref="K135" si="105">K37</f>
        <v>0</v>
      </c>
    </row>
    <row r="136" spans="2:11" x14ac:dyDescent="0.2">
      <c r="B136" t="s">
        <v>82</v>
      </c>
      <c r="C136" s="14">
        <v>-71965</v>
      </c>
      <c r="D136" s="14">
        <v>-127427</v>
      </c>
      <c r="E136" s="14">
        <v>-149573</v>
      </c>
      <c r="F136" s="18">
        <f t="shared" ref="F136:K136" si="106">-F40*F137</f>
        <v>-163566.53399999999</v>
      </c>
      <c r="G136" s="18">
        <f t="shared" si="106"/>
        <v>-200270.44159999999</v>
      </c>
      <c r="H136" s="18">
        <f t="shared" si="106"/>
        <v>-264966.81195900019</v>
      </c>
      <c r="I136" s="18">
        <f t="shared" si="106"/>
        <v>-331096.28480819997</v>
      </c>
      <c r="J136" s="18">
        <f t="shared" si="106"/>
        <v>-398020.43739798415</v>
      </c>
      <c r="K136" s="18">
        <f t="shared" si="106"/>
        <v>-457645.84899153229</v>
      </c>
    </row>
    <row r="137" spans="2:11" x14ac:dyDescent="0.2">
      <c r="B137" s="25" t="s">
        <v>106</v>
      </c>
      <c r="C137" s="27">
        <f>-C136/C40</f>
        <v>0.22267776471316295</v>
      </c>
      <c r="D137" s="27">
        <f>-D136/D40</f>
        <v>0.21938135171568415</v>
      </c>
      <c r="E137" s="27">
        <f>-E136/E40</f>
        <v>0.2077578794870121</v>
      </c>
      <c r="F137" s="30">
        <v>0.2</v>
      </c>
      <c r="G137" s="30">
        <v>0.2</v>
      </c>
      <c r="H137" s="30">
        <v>0.2</v>
      </c>
      <c r="I137" s="30">
        <v>0.2</v>
      </c>
      <c r="J137" s="30">
        <v>0.2</v>
      </c>
      <c r="K137" s="30">
        <v>0.2</v>
      </c>
    </row>
    <row r="138" spans="2:11" s="9" customFormat="1" x14ac:dyDescent="0.2">
      <c r="B138" s="9" t="s">
        <v>84</v>
      </c>
      <c r="C138" s="19">
        <f>C132+C134+C135+C136</f>
        <v>1016647</v>
      </c>
      <c r="D138" s="19">
        <f t="shared" ref="D138:J138" si="107">D132+D134+D135+D136</f>
        <v>1820146.8717508707</v>
      </c>
      <c r="E138" s="19">
        <f t="shared" si="107"/>
        <v>2021159.1538854437</v>
      </c>
      <c r="F138" s="19">
        <f t="shared" si="107"/>
        <v>2222556.1737840907</v>
      </c>
      <c r="G138" s="19">
        <f t="shared" si="107"/>
        <v>1765189.7019681814</v>
      </c>
      <c r="H138" s="19">
        <f t="shared" si="107"/>
        <v>1926887.6655007727</v>
      </c>
      <c r="I138" s="19">
        <f t="shared" si="107"/>
        <v>1942195.7639757534</v>
      </c>
      <c r="J138" s="19">
        <f t="shared" si="107"/>
        <v>2287985.2240776252</v>
      </c>
      <c r="K138" s="19">
        <f t="shared" ref="K138" si="108">K132+K134+K135+K136</f>
        <v>3189402.0027526231</v>
      </c>
    </row>
    <row r="140" spans="2:11" x14ac:dyDescent="0.2">
      <c r="B140" t="s">
        <v>85</v>
      </c>
      <c r="C140" s="14">
        <v>0</v>
      </c>
      <c r="D140" s="14">
        <v>-211</v>
      </c>
      <c r="E140" s="14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</row>
    <row r="141" spans="2:11" x14ac:dyDescent="0.2">
      <c r="B141" t="s">
        <v>86</v>
      </c>
      <c r="C141" s="14">
        <v>13088</v>
      </c>
      <c r="D141" s="14">
        <v>12427</v>
      </c>
      <c r="E141" s="14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</row>
    <row r="142" spans="2:11" x14ac:dyDescent="0.2">
      <c r="B142" t="s">
        <v>87</v>
      </c>
      <c r="C142" s="14">
        <v>-13355</v>
      </c>
      <c r="D142" s="14">
        <v>0</v>
      </c>
      <c r="E142" s="14">
        <v>11407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</row>
    <row r="143" spans="2:11" x14ac:dyDescent="0.2">
      <c r="B143" t="s">
        <v>88</v>
      </c>
      <c r="C143" s="14">
        <v>-17097</v>
      </c>
      <c r="D143" s="14">
        <v>-51387</v>
      </c>
      <c r="E143" s="14">
        <v>-95575</v>
      </c>
      <c r="F143" s="33">
        <v>-75000</v>
      </c>
      <c r="G143" s="33">
        <v>-75000</v>
      </c>
      <c r="H143" s="33">
        <v>-75000</v>
      </c>
      <c r="I143" s="33">
        <v>-75000</v>
      </c>
      <c r="J143" s="33">
        <v>-75000</v>
      </c>
      <c r="K143" s="33">
        <v>-75000</v>
      </c>
    </row>
    <row r="144" spans="2:11" x14ac:dyDescent="0.2">
      <c r="B144" t="s">
        <v>89</v>
      </c>
      <c r="C144" s="14">
        <v>-4795</v>
      </c>
      <c r="D144" s="14">
        <v>-2959</v>
      </c>
      <c r="E144" s="14">
        <v>-3523</v>
      </c>
      <c r="F144" s="33">
        <v>-3000</v>
      </c>
      <c r="G144" s="33">
        <v>-3000</v>
      </c>
      <c r="H144" s="33">
        <v>-3000</v>
      </c>
      <c r="I144" s="33">
        <v>-3000</v>
      </c>
      <c r="J144" s="33">
        <v>-3000</v>
      </c>
      <c r="K144" s="33">
        <v>-3000</v>
      </c>
    </row>
    <row r="145" spans="2:11" x14ac:dyDescent="0.2">
      <c r="B145" s="9" t="s">
        <v>90</v>
      </c>
      <c r="C145" s="19">
        <f>SUM(C140:C144)</f>
        <v>-22159</v>
      </c>
      <c r="D145" s="19">
        <f t="shared" ref="D145:J145" si="109">SUM(D140:D144)</f>
        <v>-42130</v>
      </c>
      <c r="E145" s="19">
        <f t="shared" si="109"/>
        <v>-87691</v>
      </c>
      <c r="F145" s="19">
        <f t="shared" si="109"/>
        <v>-78000</v>
      </c>
      <c r="G145" s="19">
        <f t="shared" si="109"/>
        <v>-78000</v>
      </c>
      <c r="H145" s="19">
        <f t="shared" si="109"/>
        <v>-78000</v>
      </c>
      <c r="I145" s="19">
        <f t="shared" si="109"/>
        <v>-78000</v>
      </c>
      <c r="J145" s="19">
        <f t="shared" si="109"/>
        <v>-78000</v>
      </c>
      <c r="K145" s="19">
        <f t="shared" ref="K145" si="110">SUM(K140:K144)</f>
        <v>-78000</v>
      </c>
    </row>
    <row r="146" spans="2:11" x14ac:dyDescent="0.2">
      <c r="C146" s="19"/>
      <c r="D146" s="19"/>
      <c r="E146" s="19"/>
    </row>
    <row r="147" spans="2:11" x14ac:dyDescent="0.2">
      <c r="B147" t="s">
        <v>91</v>
      </c>
      <c r="C147" s="14">
        <v>12832</v>
      </c>
      <c r="D147" s="14">
        <v>105285</v>
      </c>
      <c r="E147" s="14">
        <v>9926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</row>
    <row r="148" spans="2:11" x14ac:dyDescent="0.2">
      <c r="B148" t="s">
        <v>92</v>
      </c>
      <c r="C148" s="14">
        <v>-9439</v>
      </c>
      <c r="D148" s="14">
        <v>-9045</v>
      </c>
      <c r="E148" s="14">
        <v>-22144</v>
      </c>
      <c r="F148" s="33">
        <v>-10000</v>
      </c>
      <c r="G148" s="33">
        <v>-10000</v>
      </c>
      <c r="H148" s="33">
        <v>-10000</v>
      </c>
      <c r="I148" s="33">
        <v>-10000</v>
      </c>
      <c r="J148" s="33">
        <v>-10000</v>
      </c>
      <c r="K148" s="33">
        <v>-10000</v>
      </c>
    </row>
    <row r="149" spans="2:11" s="9" customFormat="1" x14ac:dyDescent="0.2">
      <c r="B149" s="9" t="s">
        <v>93</v>
      </c>
      <c r="C149" s="19">
        <f>C147+C148</f>
        <v>3393</v>
      </c>
      <c r="D149" s="19">
        <f>D147+D148</f>
        <v>96240</v>
      </c>
      <c r="E149" s="19">
        <f>E147+E148</f>
        <v>-12218</v>
      </c>
      <c r="F149" s="19">
        <f t="shared" ref="F149:K149" si="111">F147+F148</f>
        <v>-10000</v>
      </c>
      <c r="G149" s="19">
        <f t="shared" si="111"/>
        <v>-10000</v>
      </c>
      <c r="H149" s="19">
        <f t="shared" si="111"/>
        <v>-10000</v>
      </c>
      <c r="I149" s="19">
        <f t="shared" si="111"/>
        <v>-10000</v>
      </c>
      <c r="J149" s="19">
        <f t="shared" si="111"/>
        <v>-10000</v>
      </c>
      <c r="K149" s="19">
        <f t="shared" si="111"/>
        <v>-10000</v>
      </c>
    </row>
    <row r="151" spans="2:11" x14ac:dyDescent="0.2">
      <c r="B151" t="s">
        <v>94</v>
      </c>
      <c r="C151" s="14">
        <v>-5783</v>
      </c>
      <c r="D151" s="14">
        <v>4352</v>
      </c>
      <c r="E151" s="14">
        <v>-14998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</row>
    <row r="153" spans="2:11" s="9" customFormat="1" x14ac:dyDescent="0.2">
      <c r="B153" s="9" t="s">
        <v>95</v>
      </c>
      <c r="C153" s="19">
        <f>C138+C145+C149+C151</f>
        <v>992098</v>
      </c>
      <c r="D153" s="19">
        <f>D138+D145+D149+D151</f>
        <v>1878608.8717508707</v>
      </c>
      <c r="E153" s="19">
        <f>E138+E145+E149+E151</f>
        <v>1906252.1538854437</v>
      </c>
      <c r="F153" s="19">
        <f>F138+F145+F149+F151</f>
        <v>2134556.1737840907</v>
      </c>
      <c r="G153" s="19">
        <f t="shared" ref="G153:J153" si="112">G138+G145+G149+G151</f>
        <v>1677189.7019681814</v>
      </c>
      <c r="H153" s="19">
        <f t="shared" si="112"/>
        <v>1838887.6655007727</v>
      </c>
      <c r="I153" s="19">
        <f t="shared" si="112"/>
        <v>1854195.7639757534</v>
      </c>
      <c r="J153" s="19">
        <f t="shared" si="112"/>
        <v>2199985.2240776252</v>
      </c>
      <c r="K153" s="19">
        <f>K138+K145+K149+K151</f>
        <v>3101402.0027526231</v>
      </c>
    </row>
    <row r="155" spans="2:11" x14ac:dyDescent="0.2">
      <c r="B155" t="s">
        <v>96</v>
      </c>
      <c r="C155" s="16">
        <f>-C28+C33+C143+C148</f>
        <v>375944</v>
      </c>
      <c r="D155" s="16">
        <f t="shared" ref="D155:K155" si="113">-D28+D33+D143+D148</f>
        <v>569560</v>
      </c>
      <c r="E155" s="16">
        <f t="shared" si="113"/>
        <v>610569</v>
      </c>
      <c r="F155" s="16">
        <f t="shared" si="113"/>
        <v>818810.5087499998</v>
      </c>
      <c r="G155" s="16">
        <f t="shared" si="113"/>
        <v>1026928.6022499998</v>
      </c>
      <c r="H155" s="16">
        <f t="shared" si="113"/>
        <v>1380621.1807700009</v>
      </c>
      <c r="I155" s="16">
        <f t="shared" si="113"/>
        <v>1743189.9298459997</v>
      </c>
      <c r="J155" s="16">
        <f t="shared" si="113"/>
        <v>2105518.1248905333</v>
      </c>
      <c r="K155" s="16">
        <f t="shared" si="113"/>
        <v>2429805.1000599861</v>
      </c>
    </row>
    <row r="156" spans="2:11" x14ac:dyDescent="0.2">
      <c r="B156" t="s">
        <v>97</v>
      </c>
      <c r="C156" s="22">
        <f>C155/C18</f>
        <v>0.54946506869336453</v>
      </c>
      <c r="D156" s="22">
        <f t="shared" ref="D156:K156" si="114">D155/D18</f>
        <v>0.56869728621680915</v>
      </c>
      <c r="E156" s="22">
        <f t="shared" si="114"/>
        <v>0.4590171452284903</v>
      </c>
      <c r="F156" s="22">
        <f t="shared" si="114"/>
        <v>0.47617532648783861</v>
      </c>
      <c r="G156" s="22">
        <f t="shared" si="114"/>
        <v>0.46435254523141584</v>
      </c>
      <c r="H156" s="22">
        <f t="shared" si="114"/>
        <v>0.49032225789145922</v>
      </c>
      <c r="I156" s="22">
        <f t="shared" si="114"/>
        <v>0.50466244314978415</v>
      </c>
      <c r="J156" s="22">
        <f t="shared" si="114"/>
        <v>0.52528709716057465</v>
      </c>
      <c r="K156" s="22">
        <f t="shared" si="114"/>
        <v>0.53620124239686795</v>
      </c>
    </row>
    <row r="157" spans="2:11" x14ac:dyDescent="0.2">
      <c r="B157" t="s">
        <v>98</v>
      </c>
      <c r="C157" s="16">
        <f>C155+C41+C39+C124+C125</f>
        <v>263972</v>
      </c>
      <c r="D157" s="16">
        <f t="shared" ref="D157:K157" si="115">D155+D41+D39+D124+D125</f>
        <v>450189</v>
      </c>
      <c r="E157" s="16">
        <f t="shared" si="115"/>
        <v>511183</v>
      </c>
      <c r="F157" s="16">
        <f t="shared" si="115"/>
        <v>657743.97474999982</v>
      </c>
      <c r="G157" s="16">
        <f t="shared" si="115"/>
        <v>829158.16064999974</v>
      </c>
      <c r="H157" s="16">
        <f t="shared" si="115"/>
        <v>1118154.3688110006</v>
      </c>
      <c r="I157" s="16">
        <f t="shared" si="115"/>
        <v>1415343.6450377996</v>
      </c>
      <c r="J157" s="16">
        <f t="shared" si="115"/>
        <v>1710747.6874925492</v>
      </c>
      <c r="K157" s="16">
        <f t="shared" si="115"/>
        <v>1975409.2510684538</v>
      </c>
    </row>
    <row r="158" spans="2:11" x14ac:dyDescent="0.2">
      <c r="B158" t="s">
        <v>99</v>
      </c>
      <c r="C158" s="22">
        <f t="shared" ref="C158:K158" si="116">C157/C18</f>
        <v>0.38581116632563578</v>
      </c>
      <c r="D158" s="22">
        <f t="shared" si="116"/>
        <v>0.44950709773273945</v>
      </c>
      <c r="E158" s="22">
        <f t="shared" si="116"/>
        <v>0.38430015501824583</v>
      </c>
      <c r="F158" s="22">
        <f t="shared" si="116"/>
        <v>0.38250785569438372</v>
      </c>
      <c r="G158" s="22">
        <f t="shared" si="116"/>
        <v>0.37492548308971463</v>
      </c>
      <c r="H158" s="22">
        <f t="shared" si="116"/>
        <v>0.39710818754847405</v>
      </c>
      <c r="I158" s="22">
        <f t="shared" si="116"/>
        <v>0.40974925885694991</v>
      </c>
      <c r="J158" s="22">
        <f t="shared" si="116"/>
        <v>0.42679931182442199</v>
      </c>
      <c r="K158" s="22">
        <f t="shared" si="116"/>
        <v>0.43592669002094936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B0A2-8B85-B745-B6C9-59384A2F37D9}">
  <dimension ref="B2:H28"/>
  <sheetViews>
    <sheetView zoomScale="220" zoomScaleNormal="220" workbookViewId="0">
      <selection activeCell="H21" sqref="H21"/>
    </sheetView>
  </sheetViews>
  <sheetFormatPr baseColWidth="10" defaultRowHeight="16" x14ac:dyDescent="0.2"/>
  <cols>
    <col min="1" max="1" width="5.5" customWidth="1"/>
    <col min="2" max="2" width="23.33203125" customWidth="1"/>
    <col min="3" max="3" width="11.5" bestFit="1" customWidth="1"/>
    <col min="4" max="4" width="14" bestFit="1" customWidth="1"/>
    <col min="6" max="6" width="21.5" customWidth="1"/>
    <col min="8" max="8" width="11.5" bestFit="1" customWidth="1"/>
  </cols>
  <sheetData>
    <row r="2" spans="2:8" ht="17" thickBot="1" x14ac:dyDescent="0.25">
      <c r="B2" s="37" t="s">
        <v>110</v>
      </c>
      <c r="C2" s="2">
        <f>Model!F12</f>
        <v>2023</v>
      </c>
      <c r="D2" s="2">
        <f>Model!G12</f>
        <v>2024</v>
      </c>
      <c r="E2" s="2">
        <f>Model!H12</f>
        <v>2025</v>
      </c>
      <c r="F2" s="2">
        <f>Model!I12</f>
        <v>2026</v>
      </c>
      <c r="G2" s="2">
        <f>Model!J12</f>
        <v>2027</v>
      </c>
      <c r="H2" s="2">
        <f>Model!K12</f>
        <v>2028</v>
      </c>
    </row>
    <row r="4" spans="2:8" x14ac:dyDescent="0.2">
      <c r="B4" s="9" t="s">
        <v>98</v>
      </c>
      <c r="C4" s="16">
        <f>Model!F157</f>
        <v>657743.97474999982</v>
      </c>
      <c r="D4" s="16">
        <f>Model!G157</f>
        <v>829158.16064999974</v>
      </c>
      <c r="E4" s="16">
        <f>Model!H157</f>
        <v>1118154.3688110006</v>
      </c>
      <c r="F4" s="16">
        <f>Model!I157</f>
        <v>1415343.6450377996</v>
      </c>
      <c r="G4" s="16">
        <f>Model!J157</f>
        <v>1710747.6874925492</v>
      </c>
      <c r="H4" s="16">
        <f>Model!K157</f>
        <v>1975409.2510684538</v>
      </c>
    </row>
    <row r="5" spans="2:8" x14ac:dyDescent="0.2">
      <c r="B5" s="9" t="s">
        <v>111</v>
      </c>
      <c r="C5" s="22"/>
      <c r="D5" s="43">
        <v>0.08</v>
      </c>
      <c r="E5" s="43">
        <v>0.08</v>
      </c>
      <c r="F5" s="43">
        <v>0.08</v>
      </c>
      <c r="G5" s="43">
        <v>0.08</v>
      </c>
      <c r="H5" s="43">
        <v>0.08</v>
      </c>
    </row>
    <row r="6" spans="2:8" x14ac:dyDescent="0.2">
      <c r="B6" s="9" t="s">
        <v>112</v>
      </c>
      <c r="C6" s="16">
        <f t="shared" ref="C6:H6" si="0">C4*(1/(1+C5)^(C2-$C$2))</f>
        <v>657743.97474999982</v>
      </c>
      <c r="D6" s="16">
        <f t="shared" si="0"/>
        <v>767739.03763888858</v>
      </c>
      <c r="E6" s="16">
        <f t="shared" si="0"/>
        <v>958637.14747170825</v>
      </c>
      <c r="F6" s="16">
        <f t="shared" si="0"/>
        <v>1123545.4175540118</v>
      </c>
      <c r="G6" s="16">
        <f t="shared" si="0"/>
        <v>1257450.6209095214</v>
      </c>
      <c r="H6" s="16">
        <f t="shared" si="0"/>
        <v>1344430.3435422201</v>
      </c>
    </row>
    <row r="7" spans="2:8" x14ac:dyDescent="0.2">
      <c r="B7" s="9"/>
    </row>
    <row r="8" spans="2:8" x14ac:dyDescent="0.2">
      <c r="B8" s="9" t="s">
        <v>113</v>
      </c>
      <c r="C8" s="16">
        <f>SUM(C6:G6)</f>
        <v>4765116.1983241299</v>
      </c>
    </row>
    <row r="10" spans="2:8" x14ac:dyDescent="0.2">
      <c r="B10" s="38" t="s">
        <v>114</v>
      </c>
      <c r="C10" s="39"/>
      <c r="D10" s="39"/>
      <c r="F10" s="38" t="s">
        <v>120</v>
      </c>
      <c r="G10" s="39"/>
      <c r="H10" s="39"/>
    </row>
    <row r="11" spans="2:8" x14ac:dyDescent="0.2">
      <c r="B11" t="s">
        <v>115</v>
      </c>
      <c r="D11" s="43">
        <v>0.03</v>
      </c>
    </row>
    <row r="12" spans="2:8" x14ac:dyDescent="0.2">
      <c r="B12" t="s">
        <v>135</v>
      </c>
      <c r="D12" s="43">
        <v>8.5000000000000006E-2</v>
      </c>
      <c r="F12" t="s">
        <v>121</v>
      </c>
      <c r="H12" s="16">
        <f>Model!K45/1000</f>
        <v>33536.076325920025</v>
      </c>
    </row>
    <row r="13" spans="2:8" x14ac:dyDescent="0.2">
      <c r="B13" t="str">
        <f>_xlfn.CONCAT(H2+1," FCF")</f>
        <v>2029 FCF</v>
      </c>
      <c r="D13" s="16">
        <f>H4*(1+D11)</f>
        <v>2034671.5286005074</v>
      </c>
      <c r="F13" t="s">
        <v>122</v>
      </c>
      <c r="H13" s="16">
        <f>Model!K47/1000</f>
        <v>70.703999999999994</v>
      </c>
    </row>
    <row r="14" spans="2:8" x14ac:dyDescent="0.2">
      <c r="B14" t="str">
        <f>_xlfn.CONCAT("Terminal Value ", H2+1)</f>
        <v>Terminal Value 2029</v>
      </c>
      <c r="D14" s="16">
        <f>(D13*(1+D11))/(D12-D11)</f>
        <v>38103848.626518585</v>
      </c>
      <c r="F14" t="s">
        <v>123</v>
      </c>
      <c r="H14" s="16">
        <f>Model!K49/1000</f>
        <v>33606.78032592003</v>
      </c>
    </row>
    <row r="15" spans="2:8" x14ac:dyDescent="0.2">
      <c r="B15" t="s">
        <v>116</v>
      </c>
      <c r="D15" s="16">
        <f>D14/(1+H5)^(H2-C2)</f>
        <v>25932839.117526196</v>
      </c>
    </row>
    <row r="17" spans="2:8" x14ac:dyDescent="0.2">
      <c r="B17" t="s">
        <v>117</v>
      </c>
      <c r="D17" s="16">
        <f>D15+C8</f>
        <v>30697955.315850325</v>
      </c>
    </row>
    <row r="19" spans="2:8" x14ac:dyDescent="0.2">
      <c r="B19" s="38" t="s">
        <v>118</v>
      </c>
      <c r="C19" s="39"/>
      <c r="D19" s="39"/>
      <c r="F19" s="38" t="s">
        <v>124</v>
      </c>
      <c r="G19" s="39"/>
      <c r="H19" s="39"/>
    </row>
    <row r="21" spans="2:8" x14ac:dyDescent="0.2">
      <c r="B21" t="s">
        <v>118</v>
      </c>
      <c r="D21" s="18">
        <v>0</v>
      </c>
      <c r="F21" t="s">
        <v>125</v>
      </c>
      <c r="H21" s="40">
        <f>(D17-D25)/H14</f>
        <v>1305.1270889363011</v>
      </c>
    </row>
    <row r="22" spans="2:8" x14ac:dyDescent="0.2">
      <c r="B22" t="s">
        <v>133</v>
      </c>
      <c r="D22" s="18">
        <f>Model!K79+Model!K80+Model!K81</f>
        <v>19341006.532059047</v>
      </c>
      <c r="F22" t="s">
        <v>126</v>
      </c>
      <c r="H22">
        <v>0.01</v>
      </c>
    </row>
    <row r="23" spans="2:8" x14ac:dyDescent="0.2">
      <c r="F23" t="s">
        <v>127</v>
      </c>
      <c r="H23" s="41">
        <f>H21*H22</f>
        <v>13.05127088936301</v>
      </c>
    </row>
    <row r="24" spans="2:8" x14ac:dyDescent="0.2">
      <c r="B24" t="s">
        <v>119</v>
      </c>
      <c r="D24" s="18">
        <f>D21-D22</f>
        <v>-19341006.532059047</v>
      </c>
      <c r="F24" t="s">
        <v>128</v>
      </c>
      <c r="H24" s="34">
        <v>1.08</v>
      </c>
    </row>
    <row r="25" spans="2:8" x14ac:dyDescent="0.2">
      <c r="B25" t="s">
        <v>134</v>
      </c>
      <c r="D25" s="18">
        <f>D24/(1+H5)^(H2-C2)</f>
        <v>-13163164.059439447</v>
      </c>
      <c r="F25" t="s">
        <v>129</v>
      </c>
      <c r="H25" s="42">
        <f>H23*H24</f>
        <v>14.095372560512052</v>
      </c>
    </row>
    <row r="27" spans="2:8" x14ac:dyDescent="0.2">
      <c r="F27" t="s">
        <v>131</v>
      </c>
      <c r="H27" s="45">
        <f>Model!C7</f>
        <v>12.74</v>
      </c>
    </row>
    <row r="28" spans="2:8" x14ac:dyDescent="0.2">
      <c r="F28" t="s">
        <v>132</v>
      </c>
      <c r="H28" s="22">
        <f>H25/H27-1</f>
        <v>0.10638717115479213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9572-F50C-2F48-9A1F-40BAF5E07EEA}">
  <dimension ref="A1:I9"/>
  <sheetViews>
    <sheetView tabSelected="1" workbookViewId="0">
      <selection activeCell="K20" sqref="K20"/>
    </sheetView>
  </sheetViews>
  <sheetFormatPr baseColWidth="10" defaultRowHeight="16" x14ac:dyDescent="0.2"/>
  <cols>
    <col min="1" max="1" width="32.5" customWidth="1"/>
    <col min="2" max="2" width="13.83203125" customWidth="1"/>
    <col min="7" max="7" width="11.5" bestFit="1" customWidth="1"/>
    <col min="8" max="8" width="2" customWidth="1"/>
  </cols>
  <sheetData>
    <row r="1" spans="1:9" x14ac:dyDescent="0.2">
      <c r="B1" s="9">
        <v>2017</v>
      </c>
      <c r="C1" s="9">
        <v>2018</v>
      </c>
      <c r="D1" s="9">
        <v>2019</v>
      </c>
      <c r="E1" s="9">
        <v>2020</v>
      </c>
      <c r="F1" s="9">
        <v>2021</v>
      </c>
      <c r="G1" s="9">
        <v>2022</v>
      </c>
      <c r="I1" s="47" t="s">
        <v>137</v>
      </c>
    </row>
    <row r="2" spans="1:9" x14ac:dyDescent="0.2">
      <c r="A2" s="9" t="s">
        <v>136</v>
      </c>
      <c r="B2" s="46">
        <f>108.4*1000</f>
        <v>108400</v>
      </c>
      <c r="C2" s="46">
        <v>159000</v>
      </c>
      <c r="D2" s="46">
        <v>239600</v>
      </c>
      <c r="E2" s="46">
        <v>303600</v>
      </c>
      <c r="F2" s="46">
        <v>516000</v>
      </c>
      <c r="G2" s="46">
        <v>767500</v>
      </c>
      <c r="I2" s="46">
        <v>426000</v>
      </c>
    </row>
    <row r="3" spans="1:9" x14ac:dyDescent="0.2">
      <c r="A3" s="9" t="s">
        <v>138</v>
      </c>
      <c r="B3" s="46">
        <v>218</v>
      </c>
      <c r="C3" s="46">
        <v>349</v>
      </c>
      <c r="D3" s="46">
        <v>534</v>
      </c>
      <c r="E3" s="46">
        <v>684</v>
      </c>
      <c r="F3" s="46">
        <v>1002</v>
      </c>
      <c r="G3" s="46">
        <v>1330</v>
      </c>
      <c r="I3" s="46">
        <v>739.1</v>
      </c>
    </row>
    <row r="4" spans="1:9" x14ac:dyDescent="0.2">
      <c r="A4" t="s">
        <v>139</v>
      </c>
      <c r="B4" s="46">
        <v>872</v>
      </c>
      <c r="C4" s="46">
        <v>1444</v>
      </c>
      <c r="D4" s="46">
        <v>2373</v>
      </c>
      <c r="E4" s="46">
        <v>3294</v>
      </c>
      <c r="F4" s="46">
        <v>5525</v>
      </c>
      <c r="G4" s="46">
        <v>8271</v>
      </c>
      <c r="I4" s="46">
        <v>485.5</v>
      </c>
    </row>
    <row r="5" spans="1:9" x14ac:dyDescent="0.2">
      <c r="A5" t="s">
        <v>143</v>
      </c>
      <c r="B5" s="49">
        <v>782</v>
      </c>
      <c r="C5" s="49">
        <v>1295</v>
      </c>
      <c r="D5" s="49">
        <v>2106</v>
      </c>
      <c r="E5" s="49">
        <v>2935</v>
      </c>
      <c r="F5" s="49">
        <v>4961</v>
      </c>
      <c r="G5" s="46">
        <v>7551</v>
      </c>
    </row>
    <row r="6" spans="1:9" x14ac:dyDescent="0.2">
      <c r="A6" t="s">
        <v>144</v>
      </c>
      <c r="B6" s="49">
        <v>90</v>
      </c>
      <c r="C6" s="49">
        <v>149</v>
      </c>
      <c r="D6" s="49">
        <v>267</v>
      </c>
      <c r="E6" s="49">
        <v>359</v>
      </c>
      <c r="F6" s="49">
        <v>564</v>
      </c>
      <c r="G6" s="49">
        <v>720</v>
      </c>
    </row>
    <row r="7" spans="1:9" x14ac:dyDescent="0.2">
      <c r="A7" t="s">
        <v>140</v>
      </c>
      <c r="B7" s="46">
        <v>93</v>
      </c>
      <c r="C7" s="46">
        <v>133</v>
      </c>
      <c r="D7" s="46">
        <v>176</v>
      </c>
      <c r="E7" s="46">
        <v>217</v>
      </c>
      <c r="F7" s="46">
        <v>290</v>
      </c>
      <c r="G7" s="46">
        <v>388</v>
      </c>
      <c r="I7" s="46">
        <v>209.6</v>
      </c>
    </row>
    <row r="8" spans="1:9" x14ac:dyDescent="0.2">
      <c r="A8" t="s">
        <v>141</v>
      </c>
      <c r="B8" s="46">
        <v>11</v>
      </c>
      <c r="C8" s="46">
        <v>11</v>
      </c>
      <c r="D8" s="46">
        <v>15</v>
      </c>
      <c r="E8" s="46">
        <v>19</v>
      </c>
      <c r="F8" s="46">
        <v>33</v>
      </c>
      <c r="G8" s="46">
        <v>55.7</v>
      </c>
      <c r="I8" s="46">
        <v>41.2</v>
      </c>
    </row>
    <row r="9" spans="1:9" x14ac:dyDescent="0.2">
      <c r="A9" t="s">
        <v>142</v>
      </c>
      <c r="B9" s="46">
        <v>36</v>
      </c>
      <c r="C9" s="46">
        <v>65</v>
      </c>
      <c r="D9" s="46">
        <v>93</v>
      </c>
      <c r="E9" s="46">
        <v>111</v>
      </c>
      <c r="F9" s="46">
        <v>147</v>
      </c>
      <c r="G9" s="46">
        <v>221.7</v>
      </c>
      <c r="I9" s="46">
        <v>117.2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</vt:lpstr>
      <vt:lpstr>Valuation</vt:lpstr>
      <vt:lpstr>KPIs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Anderson</dc:creator>
  <cp:lastModifiedBy>Ash Anderson</cp:lastModifiedBy>
  <dcterms:created xsi:type="dcterms:W3CDTF">2023-12-03T15:07:18Z</dcterms:created>
  <dcterms:modified xsi:type="dcterms:W3CDTF">2023-12-16T15:46:53Z</dcterms:modified>
</cp:coreProperties>
</file>